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codeName="ThisWorkbook"/>
  <mc:AlternateContent xmlns:mc="http://schemas.openxmlformats.org/markup-compatibility/2006">
    <mc:Choice Requires="x15">
      <x15ac:absPath xmlns:x15ac="http://schemas.microsoft.com/office/spreadsheetml/2010/11/ac" url="E:\FORMULA RATES SPP\Annual Update Transmission Rates AEP West SPP OpCos and Transcos\True Ups\2022 Annual Update\Transco_OKTCo_SWTCo\Filed Documents 5-27-22\"/>
    </mc:Choice>
  </mc:AlternateContent>
  <xr:revisionPtr revIDLastSave="0" documentId="8_{DAF3AE2D-64B7-47F1-8ECA-4B329EF24815}" xr6:coauthVersionLast="47" xr6:coauthVersionMax="47" xr10:uidLastSave="{00000000-0000-0000-0000-000000000000}"/>
  <bookViews>
    <workbookView xWindow="-120" yWindow="-120" windowWidth="24240" windowHeight="13140" activeTab="1" xr2:uid="{00000000-000D-0000-FFFF-FFFF00000000}"/>
  </bookViews>
  <sheets>
    <sheet name="Instructions" sheetId="33" r:id="rId1"/>
    <sheet name="Summary" sheetId="29" r:id="rId2"/>
    <sheet name="Pivot" sheetId="31" r:id="rId3"/>
    <sheet name="Transactions" sheetId="18" r:id="rId4"/>
  </sheets>
  <definedNames>
    <definedName name="_xlnm._FilterDatabase" localSheetId="3" hidden="1">Transactions!$A$15:$R$211</definedName>
    <definedName name="AS1_1999" localSheetId="3">Transactions!$C$19:$J$26</definedName>
    <definedName name="AS1_1999">#REF!</definedName>
    <definedName name="Avg_Annual_FERC_Rate">#REF!</definedName>
    <definedName name="etec">#REF!</definedName>
    <definedName name="fake">#REF!</definedName>
    <definedName name="greenbelt">#REF!</definedName>
    <definedName name="janetec">#REF!</definedName>
    <definedName name="lighthouse">#REF!</definedName>
    <definedName name="ntec">#REF!</definedName>
    <definedName name="ompa">#REF!</definedName>
    <definedName name="_xlnm.Print_Area" localSheetId="1">Summary!$C$1:$K$39</definedName>
    <definedName name="_xlnm.Print_Area" localSheetId="3">Transactions!$A$1:$R$211</definedName>
    <definedName name="_xlnm.Print_Titles" localSheetId="2">Pivot!$3:$4</definedName>
    <definedName name="_xlnm.Print_Titles" localSheetId="3">Transactions!$B:$E,Transactions!$1:$19</definedName>
    <definedName name="ss1et">#REF!</definedName>
    <definedName name="ss1gb">#REF!</definedName>
    <definedName name="ss1lh">#REF!</definedName>
    <definedName name="ss1nt">#REF!</definedName>
    <definedName name="ss1op">#REF!</definedName>
    <definedName name="ss1tx">#REF!</definedName>
    <definedName name="ss1wf">#REF!</definedName>
    <definedName name="ss2et">#REF!</definedName>
    <definedName name="ss2etc">#REF!</definedName>
    <definedName name="ss2gb">#REF!</definedName>
    <definedName name="ss2gbt">#REF!</definedName>
    <definedName name="ss2lh">#REF!</definedName>
    <definedName name="ss2lhs">#REF!</definedName>
    <definedName name="ss2nt">#REF!</definedName>
    <definedName name="ss2ntc">#REF!</definedName>
    <definedName name="ss2op">#REF!</definedName>
    <definedName name="ss2opm">#REF!</definedName>
    <definedName name="ss2tx">#REF!</definedName>
    <definedName name="ss2txl">#REF!</definedName>
    <definedName name="ss2wf">#REF!</definedName>
    <definedName name="ss3et">#REF!</definedName>
    <definedName name="ss3gb">#REF!</definedName>
    <definedName name="ss3lh">#REF!</definedName>
    <definedName name="ss3nt">#REF!</definedName>
    <definedName name="ss3op">#REF!</definedName>
    <definedName name="ss3tx">#REF!</definedName>
    <definedName name="ss3wf">#REF!</definedName>
    <definedName name="ss5et">#REF!</definedName>
    <definedName name="ss5gb">#REF!</definedName>
    <definedName name="ss5lh">#REF!</definedName>
    <definedName name="ss5nt">#REF!</definedName>
    <definedName name="ss5op">#REF!</definedName>
    <definedName name="ss5tx">#REF!</definedName>
    <definedName name="ss5wf">#REF!</definedName>
    <definedName name="ss6et">#REF!</definedName>
    <definedName name="ss6gb">#REF!</definedName>
    <definedName name="ss6lh">#REF!</definedName>
    <definedName name="ss6nt">#REF!</definedName>
    <definedName name="ss6op">#REF!</definedName>
    <definedName name="ss6tx">#REF!</definedName>
    <definedName name="ss6wf">#REF!</definedName>
    <definedName name="tbl_QtrPrimRat">#REF!</definedName>
    <definedName name="texla">#REF!</definedName>
  </definedNames>
  <calcPr calcId="191029"/>
  <pivotCaches>
    <pivotCache cacheId="31" r:id="rId5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" i="29" l="1"/>
  <c r="J38" i="29" l="1"/>
  <c r="J34" i="29"/>
  <c r="J39" i="29" l="1"/>
  <c r="L3" i="18" l="1"/>
  <c r="H209" i="18"/>
  <c r="H23" i="18" l="1"/>
  <c r="H27" i="18"/>
  <c r="H31" i="18"/>
  <c r="H35" i="18"/>
  <c r="H39" i="18"/>
  <c r="H43" i="18"/>
  <c r="H47" i="18"/>
  <c r="H51" i="18"/>
  <c r="H55" i="18"/>
  <c r="H59" i="18"/>
  <c r="H63" i="18"/>
  <c r="H67" i="18"/>
  <c r="H71" i="18"/>
  <c r="H75" i="18"/>
  <c r="H79" i="18"/>
  <c r="H83" i="18"/>
  <c r="H87" i="18"/>
  <c r="H91" i="18"/>
  <c r="H95" i="18"/>
  <c r="H99" i="18"/>
  <c r="H103" i="18"/>
  <c r="H107" i="18"/>
  <c r="H111" i="18"/>
  <c r="H115" i="18"/>
  <c r="H119" i="18"/>
  <c r="H123" i="18"/>
  <c r="H127" i="18"/>
  <c r="H131" i="18"/>
  <c r="H135" i="18"/>
  <c r="H139" i="18"/>
  <c r="H143" i="18"/>
  <c r="H147" i="18"/>
  <c r="H151" i="18"/>
  <c r="H155" i="18"/>
  <c r="H159" i="18"/>
  <c r="H163" i="18"/>
  <c r="H167" i="18"/>
  <c r="H171" i="18"/>
  <c r="H175" i="18"/>
  <c r="H179" i="18"/>
  <c r="H183" i="18"/>
  <c r="H187" i="18"/>
  <c r="H191" i="18"/>
  <c r="H195" i="18"/>
  <c r="H199" i="18"/>
  <c r="H203" i="18"/>
  <c r="H207" i="18"/>
  <c r="H211" i="18"/>
  <c r="H30" i="18"/>
  <c r="H34" i="18"/>
  <c r="H38" i="18"/>
  <c r="H50" i="18"/>
  <c r="H58" i="18"/>
  <c r="H66" i="18"/>
  <c r="H78" i="18"/>
  <c r="H86" i="18"/>
  <c r="H94" i="18"/>
  <c r="H106" i="18"/>
  <c r="H114" i="18"/>
  <c r="H122" i="18"/>
  <c r="H134" i="18"/>
  <c r="H142" i="18"/>
  <c r="H150" i="18"/>
  <c r="H154" i="18"/>
  <c r="H166" i="18"/>
  <c r="H178" i="18"/>
  <c r="H186" i="18"/>
  <c r="H206" i="18"/>
  <c r="H20" i="18"/>
  <c r="H24" i="18"/>
  <c r="H28" i="18"/>
  <c r="H32" i="18"/>
  <c r="H36" i="18"/>
  <c r="H40" i="18"/>
  <c r="H44" i="18"/>
  <c r="H48" i="18"/>
  <c r="H52" i="18"/>
  <c r="H56" i="18"/>
  <c r="H60" i="18"/>
  <c r="H64" i="18"/>
  <c r="H68" i="18"/>
  <c r="H72" i="18"/>
  <c r="H76" i="18"/>
  <c r="H80" i="18"/>
  <c r="H84" i="18"/>
  <c r="H88" i="18"/>
  <c r="H92" i="18"/>
  <c r="H96" i="18"/>
  <c r="H100" i="18"/>
  <c r="H104" i="18"/>
  <c r="H108" i="18"/>
  <c r="H112" i="18"/>
  <c r="H116" i="18"/>
  <c r="H120" i="18"/>
  <c r="H124" i="18"/>
  <c r="H128" i="18"/>
  <c r="H132" i="18"/>
  <c r="H136" i="18"/>
  <c r="H140" i="18"/>
  <c r="H144" i="18"/>
  <c r="H148" i="18"/>
  <c r="H152" i="18"/>
  <c r="H156" i="18"/>
  <c r="H160" i="18"/>
  <c r="H164" i="18"/>
  <c r="H168" i="18"/>
  <c r="H172" i="18"/>
  <c r="H176" i="18"/>
  <c r="H180" i="18"/>
  <c r="H184" i="18"/>
  <c r="H188" i="18"/>
  <c r="H192" i="18"/>
  <c r="H196" i="18"/>
  <c r="H200" i="18"/>
  <c r="H204" i="18"/>
  <c r="H208" i="18"/>
  <c r="H22" i="18"/>
  <c r="H26" i="18"/>
  <c r="H42" i="18"/>
  <c r="H46" i="18"/>
  <c r="H54" i="18"/>
  <c r="H62" i="18"/>
  <c r="H70" i="18"/>
  <c r="H74" i="18"/>
  <c r="H82" i="18"/>
  <c r="H90" i="18"/>
  <c r="H98" i="18"/>
  <c r="H102" i="18"/>
  <c r="H110" i="18"/>
  <c r="H118" i="18"/>
  <c r="H126" i="18"/>
  <c r="H130" i="18"/>
  <c r="H138" i="18"/>
  <c r="H146" i="18"/>
  <c r="H158" i="18"/>
  <c r="H162" i="18"/>
  <c r="H170" i="18"/>
  <c r="H174" i="18"/>
  <c r="H182" i="18"/>
  <c r="H190" i="18"/>
  <c r="H194" i="18"/>
  <c r="H198" i="18"/>
  <c r="H202" i="18"/>
  <c r="H210" i="18"/>
  <c r="H21" i="18"/>
  <c r="H25" i="18"/>
  <c r="H29" i="18"/>
  <c r="H33" i="18"/>
  <c r="H37" i="18"/>
  <c r="H41" i="18"/>
  <c r="H45" i="18"/>
  <c r="H49" i="18"/>
  <c r="H53" i="18"/>
  <c r="H57" i="18"/>
  <c r="H61" i="18"/>
  <c r="H65" i="18"/>
  <c r="H69" i="18"/>
  <c r="H73" i="18"/>
  <c r="H77" i="18"/>
  <c r="H81" i="18"/>
  <c r="H85" i="18"/>
  <c r="H89" i="18"/>
  <c r="H93" i="18"/>
  <c r="H97" i="18"/>
  <c r="H101" i="18"/>
  <c r="H105" i="18"/>
  <c r="H109" i="18"/>
  <c r="H113" i="18"/>
  <c r="H117" i="18"/>
  <c r="H121" i="18"/>
  <c r="H125" i="18"/>
  <c r="H129" i="18"/>
  <c r="H133" i="18"/>
  <c r="H137" i="18"/>
  <c r="H141" i="18"/>
  <c r="H145" i="18"/>
  <c r="H149" i="18"/>
  <c r="H153" i="18"/>
  <c r="H157" i="18"/>
  <c r="H161" i="18"/>
  <c r="H165" i="18"/>
  <c r="H169" i="18"/>
  <c r="H173" i="18"/>
  <c r="H177" i="18"/>
  <c r="H181" i="18"/>
  <c r="H185" i="18"/>
  <c r="H189" i="18"/>
  <c r="H193" i="18"/>
  <c r="H197" i="18"/>
  <c r="H201" i="18"/>
  <c r="H205" i="18"/>
  <c r="K1" i="18" l="1"/>
  <c r="O13" i="18"/>
  <c r="B79" i="18"/>
  <c r="B78" i="18"/>
  <c r="B77" i="18"/>
  <c r="B76" i="18"/>
  <c r="B75" i="18"/>
  <c r="B74" i="18"/>
  <c r="B73" i="18"/>
  <c r="B72" i="18"/>
  <c r="B71" i="18"/>
  <c r="B70" i="18"/>
  <c r="B69" i="18"/>
  <c r="B68" i="18"/>
  <c r="F8" i="29"/>
  <c r="C1" i="29"/>
  <c r="B3" i="18"/>
  <c r="B55" i="18"/>
  <c r="B54" i="18"/>
  <c r="B53" i="18"/>
  <c r="B52" i="18"/>
  <c r="B51" i="18"/>
  <c r="B50" i="18"/>
  <c r="B49" i="18"/>
  <c r="B48" i="18"/>
  <c r="B47" i="18"/>
  <c r="B46" i="18"/>
  <c r="B45" i="18"/>
  <c r="B44" i="18"/>
  <c r="C42" i="18"/>
  <c r="C54" i="18" s="1"/>
  <c r="D38" i="18"/>
  <c r="D50" i="18" s="1"/>
  <c r="J19" i="18"/>
  <c r="D43" i="18"/>
  <c r="D67" i="18" s="1"/>
  <c r="D91" i="18" s="1"/>
  <c r="D103" i="18" s="1"/>
  <c r="D115" i="18" s="1"/>
  <c r="D127" i="18" s="1"/>
  <c r="D139" i="18" s="1"/>
  <c r="D151" i="18" s="1"/>
  <c r="D163" i="18" s="1"/>
  <c r="B31" i="18"/>
  <c r="D42" i="18"/>
  <c r="B30" i="18"/>
  <c r="D41" i="18"/>
  <c r="D65" i="18" s="1"/>
  <c r="B29" i="18"/>
  <c r="B28" i="18"/>
  <c r="C39" i="18"/>
  <c r="C51" i="18" s="1"/>
  <c r="D39" i="18"/>
  <c r="B27" i="18"/>
  <c r="B26" i="18"/>
  <c r="B25" i="18"/>
  <c r="B24" i="18"/>
  <c r="B23" i="18"/>
  <c r="B22" i="18"/>
  <c r="B21" i="18"/>
  <c r="D32" i="18"/>
  <c r="D44" i="18" s="1"/>
  <c r="B16" i="18"/>
  <c r="J1" i="18"/>
  <c r="C43" i="18"/>
  <c r="C67" i="18" s="1"/>
  <c r="C79" i="18" s="1"/>
  <c r="C55" i="18"/>
  <c r="B175" i="18"/>
  <c r="B174" i="18"/>
  <c r="B173" i="18"/>
  <c r="B172" i="18"/>
  <c r="B171" i="18"/>
  <c r="C38" i="18"/>
  <c r="B170" i="18"/>
  <c r="C37" i="18"/>
  <c r="C49" i="18" s="1"/>
  <c r="B169" i="18"/>
  <c r="B168" i="18"/>
  <c r="B167" i="18"/>
  <c r="B166" i="18"/>
  <c r="C33" i="18"/>
  <c r="C45" i="18" s="1"/>
  <c r="B165" i="18"/>
  <c r="C32" i="18"/>
  <c r="C56" i="18" s="1"/>
  <c r="C68" i="18" s="1"/>
  <c r="B164" i="18"/>
  <c r="B211" i="18"/>
  <c r="B210" i="18"/>
  <c r="B209" i="18"/>
  <c r="B208" i="18"/>
  <c r="B207" i="18"/>
  <c r="B206" i="18"/>
  <c r="B205" i="18"/>
  <c r="B204" i="18"/>
  <c r="B203" i="18"/>
  <c r="B202" i="18"/>
  <c r="B201" i="18"/>
  <c r="B200" i="18"/>
  <c r="B199" i="18"/>
  <c r="B198" i="18"/>
  <c r="B197" i="18"/>
  <c r="B196" i="18"/>
  <c r="B195" i="18"/>
  <c r="B194" i="18"/>
  <c r="B193" i="18"/>
  <c r="B192" i="18"/>
  <c r="B191" i="18"/>
  <c r="B190" i="18"/>
  <c r="B189" i="18"/>
  <c r="B188" i="18"/>
  <c r="B187" i="18"/>
  <c r="B186" i="18"/>
  <c r="B185" i="18"/>
  <c r="B184" i="18"/>
  <c r="B183" i="18"/>
  <c r="B182" i="18"/>
  <c r="B181" i="18"/>
  <c r="B180" i="18"/>
  <c r="B179" i="18"/>
  <c r="B178" i="18"/>
  <c r="B177" i="18"/>
  <c r="B176" i="18"/>
  <c r="B163" i="18"/>
  <c r="B162" i="18"/>
  <c r="B161" i="18"/>
  <c r="B160" i="18"/>
  <c r="B159" i="18"/>
  <c r="B158" i="18"/>
  <c r="B157" i="18"/>
  <c r="B156" i="18"/>
  <c r="B155" i="18"/>
  <c r="B154" i="18"/>
  <c r="B153" i="18"/>
  <c r="B152" i="18"/>
  <c r="B151" i="18"/>
  <c r="B150" i="18"/>
  <c r="B149" i="18"/>
  <c r="B148" i="18"/>
  <c r="B147" i="18"/>
  <c r="B146" i="18"/>
  <c r="B145" i="18"/>
  <c r="B144" i="18"/>
  <c r="B143" i="18"/>
  <c r="B142" i="18"/>
  <c r="B141" i="18"/>
  <c r="B140" i="18"/>
  <c r="B139" i="18"/>
  <c r="B138" i="18"/>
  <c r="B137" i="18"/>
  <c r="B136" i="18"/>
  <c r="B135" i="18"/>
  <c r="B134" i="18"/>
  <c r="B133" i="18"/>
  <c r="B132" i="18"/>
  <c r="B131" i="18"/>
  <c r="B130" i="18"/>
  <c r="B129" i="18"/>
  <c r="B128" i="18"/>
  <c r="B127" i="18"/>
  <c r="B126" i="18"/>
  <c r="B125" i="18"/>
  <c r="B124" i="18"/>
  <c r="B123" i="18"/>
  <c r="B122" i="18"/>
  <c r="B121" i="18"/>
  <c r="B120" i="18"/>
  <c r="B119" i="18"/>
  <c r="B118" i="18"/>
  <c r="B117" i="18"/>
  <c r="B116" i="18"/>
  <c r="B115" i="18"/>
  <c r="B114" i="18"/>
  <c r="B113" i="18"/>
  <c r="B112" i="18"/>
  <c r="B111" i="18"/>
  <c r="B110" i="18"/>
  <c r="B109" i="18"/>
  <c r="B108" i="18"/>
  <c r="B107" i="18"/>
  <c r="B106" i="18"/>
  <c r="B105" i="18"/>
  <c r="B104" i="18"/>
  <c r="B103" i="18"/>
  <c r="B102" i="18"/>
  <c r="B101" i="18"/>
  <c r="B100" i="18"/>
  <c r="B99" i="18"/>
  <c r="B98" i="18"/>
  <c r="B97" i="18"/>
  <c r="B96" i="18"/>
  <c r="B95" i="18"/>
  <c r="B94" i="18"/>
  <c r="B93" i="18"/>
  <c r="B92" i="18"/>
  <c r="B91" i="18"/>
  <c r="B90" i="18"/>
  <c r="B89" i="18"/>
  <c r="B88" i="18"/>
  <c r="B87" i="18"/>
  <c r="B86" i="18"/>
  <c r="B85" i="18"/>
  <c r="B84" i="18"/>
  <c r="B83" i="18"/>
  <c r="B82" i="18"/>
  <c r="B81" i="18"/>
  <c r="B80" i="18"/>
  <c r="B67" i="18"/>
  <c r="B66" i="18"/>
  <c r="B65" i="18"/>
  <c r="B64" i="18"/>
  <c r="B63" i="18"/>
  <c r="B62" i="18"/>
  <c r="B61" i="18"/>
  <c r="B60" i="18"/>
  <c r="B59" i="18"/>
  <c r="B58" i="18"/>
  <c r="B57" i="18"/>
  <c r="B56" i="18"/>
  <c r="B43" i="18"/>
  <c r="B42" i="18"/>
  <c r="B41" i="18"/>
  <c r="B40" i="18"/>
  <c r="B39" i="18"/>
  <c r="B38" i="18"/>
  <c r="B37" i="18"/>
  <c r="B36" i="18"/>
  <c r="B35" i="18"/>
  <c r="B34" i="18"/>
  <c r="B33" i="18"/>
  <c r="B32" i="18"/>
  <c r="B20" i="18"/>
  <c r="C35" i="18"/>
  <c r="C34" i="18"/>
  <c r="C46" i="18" s="1"/>
  <c r="C41" i="18"/>
  <c r="C65" i="18" s="1"/>
  <c r="D36" i="18"/>
  <c r="D48" i="18" s="1"/>
  <c r="C36" i="18"/>
  <c r="C60" i="18" s="1"/>
  <c r="C48" i="18"/>
  <c r="C40" i="18"/>
  <c r="C52" i="18" s="1"/>
  <c r="D35" i="18"/>
  <c r="D47" i="18" s="1"/>
  <c r="D37" i="18"/>
  <c r="D61" i="18" s="1"/>
  <c r="D40" i="18"/>
  <c r="D64" i="18" s="1"/>
  <c r="D76" i="18" s="1"/>
  <c r="D33" i="18"/>
  <c r="D45" i="18" s="1"/>
  <c r="D34" i="18"/>
  <c r="D58" i="18" s="1"/>
  <c r="C57" i="18"/>
  <c r="C81" i="18" s="1"/>
  <c r="C93" i="18" s="1"/>
  <c r="C105" i="18" s="1"/>
  <c r="C117" i="18" s="1"/>
  <c r="C129" i="18" s="1"/>
  <c r="C141" i="18" s="1"/>
  <c r="C153" i="18" s="1"/>
  <c r="H31" i="29"/>
  <c r="G21" i="29"/>
  <c r="D29" i="29"/>
  <c r="H29" i="29"/>
  <c r="E31" i="29"/>
  <c r="G27" i="29"/>
  <c r="H27" i="29"/>
  <c r="G28" i="29"/>
  <c r="E30" i="29"/>
  <c r="H21" i="29"/>
  <c r="E37" i="29"/>
  <c r="D30" i="29"/>
  <c r="H36" i="29"/>
  <c r="G26" i="29"/>
  <c r="G35" i="29"/>
  <c r="H32" i="29"/>
  <c r="E32" i="29"/>
  <c r="E21" i="29"/>
  <c r="E27" i="29"/>
  <c r="H22" i="29"/>
  <c r="G24" i="29"/>
  <c r="H33" i="29"/>
  <c r="H23" i="29"/>
  <c r="G29" i="29"/>
  <c r="G23" i="29"/>
  <c r="H25" i="29"/>
  <c r="G22" i="29"/>
  <c r="E28" i="29"/>
  <c r="H28" i="29"/>
  <c r="E24" i="29"/>
  <c r="E36" i="29"/>
  <c r="E23" i="29"/>
  <c r="G31" i="29"/>
  <c r="E22" i="29"/>
  <c r="E26" i="29"/>
  <c r="H37" i="29"/>
  <c r="G37" i="29"/>
  <c r="G36" i="29"/>
  <c r="G30" i="29"/>
  <c r="E33" i="29"/>
  <c r="H30" i="29"/>
  <c r="E35" i="29"/>
  <c r="G32" i="29"/>
  <c r="E25" i="29"/>
  <c r="D37" i="29"/>
  <c r="E29" i="29"/>
  <c r="H24" i="29"/>
  <c r="G25" i="29"/>
  <c r="H35" i="29"/>
  <c r="G33" i="29"/>
  <c r="H26" i="29"/>
  <c r="C58" i="18" l="1"/>
  <c r="C63" i="18"/>
  <c r="D52" i="18"/>
  <c r="C44" i="18"/>
  <c r="D56" i="18"/>
  <c r="D68" i="18" s="1"/>
  <c r="C69" i="18"/>
  <c r="D53" i="18"/>
  <c r="D49" i="18"/>
  <c r="D59" i="18"/>
  <c r="C66" i="18"/>
  <c r="C64" i="18"/>
  <c r="C88" i="18" s="1"/>
  <c r="C100" i="18" s="1"/>
  <c r="C112" i="18" s="1"/>
  <c r="C124" i="18" s="1"/>
  <c r="C136" i="18" s="1"/>
  <c r="C148" i="18" s="1"/>
  <c r="C160" i="18" s="1"/>
  <c r="C172" i="18" s="1"/>
  <c r="D60" i="18"/>
  <c r="D62" i="18"/>
  <c r="D86" i="18" s="1"/>
  <c r="D98" i="18" s="1"/>
  <c r="D110" i="18" s="1"/>
  <c r="D122" i="18" s="1"/>
  <c r="D134" i="18" s="1"/>
  <c r="D146" i="18" s="1"/>
  <c r="D158" i="18" s="1"/>
  <c r="D182" i="18" s="1"/>
  <c r="D194" i="18" s="1"/>
  <c r="D206" i="18" s="1"/>
  <c r="C61" i="18"/>
  <c r="C73" i="18" s="1"/>
  <c r="D57" i="18"/>
  <c r="D46" i="18"/>
  <c r="D80" i="18"/>
  <c r="D92" i="18" s="1"/>
  <c r="D104" i="18" s="1"/>
  <c r="D116" i="18" s="1"/>
  <c r="D128" i="18" s="1"/>
  <c r="D140" i="18" s="1"/>
  <c r="D152" i="18" s="1"/>
  <c r="D164" i="18" s="1"/>
  <c r="D85" i="18"/>
  <c r="D97" i="18" s="1"/>
  <c r="D109" i="18" s="1"/>
  <c r="D121" i="18" s="1"/>
  <c r="D133" i="18" s="1"/>
  <c r="D145" i="18" s="1"/>
  <c r="D157" i="18" s="1"/>
  <c r="D181" i="18" s="1"/>
  <c r="D193" i="18" s="1"/>
  <c r="D205" i="18" s="1"/>
  <c r="D73" i="18"/>
  <c r="D70" i="18"/>
  <c r="D82" i="18"/>
  <c r="D94" i="18" s="1"/>
  <c r="D106" i="18" s="1"/>
  <c r="D118" i="18" s="1"/>
  <c r="D130" i="18" s="1"/>
  <c r="D142" i="18" s="1"/>
  <c r="D154" i="18" s="1"/>
  <c r="D166" i="18" s="1"/>
  <c r="C72" i="18"/>
  <c r="C84" i="18"/>
  <c r="C96" i="18" s="1"/>
  <c r="C108" i="18" s="1"/>
  <c r="C120" i="18" s="1"/>
  <c r="C132" i="18" s="1"/>
  <c r="C144" i="18" s="1"/>
  <c r="C156" i="18" s="1"/>
  <c r="C168" i="18" s="1"/>
  <c r="D175" i="18"/>
  <c r="D187" i="18"/>
  <c r="D199" i="18" s="1"/>
  <c r="D211" i="18" s="1"/>
  <c r="C80" i="18"/>
  <c r="C92" i="18" s="1"/>
  <c r="C104" i="18" s="1"/>
  <c r="C116" i="18" s="1"/>
  <c r="C128" i="18" s="1"/>
  <c r="C140" i="18" s="1"/>
  <c r="C152" i="18" s="1"/>
  <c r="C176" i="18" s="1"/>
  <c r="C188" i="18" s="1"/>
  <c r="C200" i="18" s="1"/>
  <c r="C85" i="18"/>
  <c r="C97" i="18" s="1"/>
  <c r="C109" i="18" s="1"/>
  <c r="C121" i="18" s="1"/>
  <c r="C133" i="18" s="1"/>
  <c r="C145" i="18" s="1"/>
  <c r="C157" i="18" s="1"/>
  <c r="D88" i="18"/>
  <c r="D100" i="18" s="1"/>
  <c r="D112" i="18" s="1"/>
  <c r="D124" i="18" s="1"/>
  <c r="D136" i="18" s="1"/>
  <c r="D148" i="18" s="1"/>
  <c r="D160" i="18" s="1"/>
  <c r="D172" i="18" s="1"/>
  <c r="D55" i="18"/>
  <c r="D79" i="18"/>
  <c r="C53" i="18"/>
  <c r="H38" i="29"/>
  <c r="F30" i="29"/>
  <c r="I30" i="29" s="1"/>
  <c r="K30" i="29" s="1"/>
  <c r="H34" i="29"/>
  <c r="G34" i="29"/>
  <c r="G38" i="29"/>
  <c r="F29" i="29"/>
  <c r="I29" i="29" s="1"/>
  <c r="K29" i="29" s="1"/>
  <c r="E34" i="29"/>
  <c r="F37" i="29"/>
  <c r="I37" i="29" s="1"/>
  <c r="K37" i="29" s="1"/>
  <c r="E38" i="29"/>
  <c r="C177" i="18"/>
  <c r="C189" i="18" s="1"/>
  <c r="C201" i="18" s="1"/>
  <c r="C165" i="18"/>
  <c r="D170" i="18"/>
  <c r="G212" i="18"/>
  <c r="D169" i="18"/>
  <c r="C47" i="18"/>
  <c r="C59" i="18"/>
  <c r="C62" i="18"/>
  <c r="C50" i="18"/>
  <c r="E10" i="29"/>
  <c r="D20" i="29"/>
  <c r="E20" i="29"/>
  <c r="C3" i="29"/>
  <c r="F10" i="29"/>
  <c r="C78" i="18"/>
  <c r="C90" i="18"/>
  <c r="C102" i="18" s="1"/>
  <c r="C114" i="18" s="1"/>
  <c r="C126" i="18" s="1"/>
  <c r="C138" i="18" s="1"/>
  <c r="C150" i="18" s="1"/>
  <c r="C162" i="18" s="1"/>
  <c r="C89" i="18"/>
  <c r="C101" i="18" s="1"/>
  <c r="C113" i="18" s="1"/>
  <c r="C125" i="18" s="1"/>
  <c r="C137" i="18" s="1"/>
  <c r="C149" i="18" s="1"/>
  <c r="C161" i="18" s="1"/>
  <c r="C77" i="18"/>
  <c r="D54" i="18"/>
  <c r="D66" i="18"/>
  <c r="D51" i="18"/>
  <c r="D63" i="18"/>
  <c r="D77" i="18"/>
  <c r="D89" i="18"/>
  <c r="D101" i="18" s="1"/>
  <c r="D113" i="18" s="1"/>
  <c r="D125" i="18" s="1"/>
  <c r="D137" i="18" s="1"/>
  <c r="D149" i="18" s="1"/>
  <c r="D161" i="18" s="1"/>
  <c r="O14" i="18"/>
  <c r="C91" i="18"/>
  <c r="C103" i="18" s="1"/>
  <c r="C115" i="18" s="1"/>
  <c r="C127" i="18" s="1"/>
  <c r="C139" i="18" s="1"/>
  <c r="C151" i="18" s="1"/>
  <c r="C163" i="18" s="1"/>
  <c r="D32" i="29"/>
  <c r="D35" i="29"/>
  <c r="D28" i="29"/>
  <c r="D21" i="29"/>
  <c r="D36" i="29"/>
  <c r="D31" i="29"/>
  <c r="D33" i="29"/>
  <c r="D24" i="29"/>
  <c r="D27" i="29"/>
  <c r="D26" i="29"/>
  <c r="D25" i="29"/>
  <c r="D22" i="29"/>
  <c r="D23" i="29"/>
  <c r="F32" i="29" l="1"/>
  <c r="I32" i="29" s="1"/>
  <c r="K32" i="29" s="1"/>
  <c r="F35" i="29"/>
  <c r="D38" i="29"/>
  <c r="F27" i="29"/>
  <c r="I27" i="29" s="1"/>
  <c r="K27" i="29" s="1"/>
  <c r="F26" i="29"/>
  <c r="I26" i="29" s="1"/>
  <c r="K26" i="29" s="1"/>
  <c r="F22" i="29"/>
  <c r="I22" i="29" s="1"/>
  <c r="K22" i="29" s="1"/>
  <c r="F33" i="29"/>
  <c r="I33" i="29" s="1"/>
  <c r="K33" i="29" s="1"/>
  <c r="F24" i="29"/>
  <c r="I24" i="29" s="1"/>
  <c r="K24" i="29" s="1"/>
  <c r="F21" i="29"/>
  <c r="D34" i="29"/>
  <c r="F36" i="29"/>
  <c r="I36" i="29" s="1"/>
  <c r="K36" i="29" s="1"/>
  <c r="F25" i="29"/>
  <c r="I25" i="29" s="1"/>
  <c r="K25" i="29" s="1"/>
  <c r="F28" i="29"/>
  <c r="I28" i="29" s="1"/>
  <c r="K28" i="29" s="1"/>
  <c r="F23" i="29"/>
  <c r="I23" i="29" s="1"/>
  <c r="K23" i="29" s="1"/>
  <c r="F31" i="29"/>
  <c r="I31" i="29" s="1"/>
  <c r="K31" i="29" s="1"/>
  <c r="C70" i="18"/>
  <c r="C82" i="18"/>
  <c r="C94" i="18" s="1"/>
  <c r="C106" i="18" s="1"/>
  <c r="C118" i="18" s="1"/>
  <c r="C130" i="18" s="1"/>
  <c r="C142" i="18" s="1"/>
  <c r="C154" i="18" s="1"/>
  <c r="C75" i="18"/>
  <c r="C87" i="18"/>
  <c r="C99" i="18" s="1"/>
  <c r="C111" i="18" s="1"/>
  <c r="C123" i="18" s="1"/>
  <c r="C135" i="18" s="1"/>
  <c r="C147" i="18" s="1"/>
  <c r="C159" i="18" s="1"/>
  <c r="C184" i="18"/>
  <c r="C196" i="18" s="1"/>
  <c r="C208" i="18" s="1"/>
  <c r="C180" i="18"/>
  <c r="C192" i="18" s="1"/>
  <c r="C204" i="18" s="1"/>
  <c r="D184" i="18"/>
  <c r="D196" i="18" s="1"/>
  <c r="D208" i="18" s="1"/>
  <c r="C76" i="18"/>
  <c r="D71" i="18"/>
  <c r="D83" i="18"/>
  <c r="D95" i="18" s="1"/>
  <c r="D107" i="18" s="1"/>
  <c r="D119" i="18" s="1"/>
  <c r="D131" i="18" s="1"/>
  <c r="D143" i="18" s="1"/>
  <c r="D155" i="18" s="1"/>
  <c r="D176" i="18"/>
  <c r="D188" i="18" s="1"/>
  <c r="D200" i="18" s="1"/>
  <c r="D74" i="18"/>
  <c r="D69" i="18"/>
  <c r="D81" i="18"/>
  <c r="D93" i="18" s="1"/>
  <c r="D105" i="18" s="1"/>
  <c r="D117" i="18" s="1"/>
  <c r="D129" i="18" s="1"/>
  <c r="D141" i="18" s="1"/>
  <c r="D153" i="18" s="1"/>
  <c r="D72" i="18"/>
  <c r="D84" i="18"/>
  <c r="D96" i="18" s="1"/>
  <c r="D108" i="18" s="1"/>
  <c r="D120" i="18" s="1"/>
  <c r="D132" i="18" s="1"/>
  <c r="D144" i="18" s="1"/>
  <c r="D156" i="18" s="1"/>
  <c r="E39" i="29"/>
  <c r="G39" i="29"/>
  <c r="D178" i="18"/>
  <c r="D190" i="18" s="1"/>
  <c r="D202" i="18" s="1"/>
  <c r="C164" i="18"/>
  <c r="C181" i="18"/>
  <c r="C193" i="18" s="1"/>
  <c r="C205" i="18" s="1"/>
  <c r="C169" i="18"/>
  <c r="D87" i="18"/>
  <c r="D99" i="18" s="1"/>
  <c r="D111" i="18" s="1"/>
  <c r="D123" i="18" s="1"/>
  <c r="D135" i="18" s="1"/>
  <c r="D147" i="18" s="1"/>
  <c r="D159" i="18" s="1"/>
  <c r="D75" i="18"/>
  <c r="D39" i="29"/>
  <c r="D173" i="18"/>
  <c r="D185" i="18"/>
  <c r="D197" i="18" s="1"/>
  <c r="D209" i="18" s="1"/>
  <c r="D78" i="18"/>
  <c r="D90" i="18"/>
  <c r="D102" i="18" s="1"/>
  <c r="D114" i="18" s="1"/>
  <c r="D126" i="18" s="1"/>
  <c r="D138" i="18" s="1"/>
  <c r="D150" i="18" s="1"/>
  <c r="D162" i="18" s="1"/>
  <c r="C86" i="18"/>
  <c r="C98" i="18" s="1"/>
  <c r="C110" i="18" s="1"/>
  <c r="C122" i="18" s="1"/>
  <c r="C134" i="18" s="1"/>
  <c r="C146" i="18" s="1"/>
  <c r="C158" i="18" s="1"/>
  <c r="C74" i="18"/>
  <c r="P14" i="18"/>
  <c r="P212" i="18"/>
  <c r="P13" i="18"/>
  <c r="I21" i="29"/>
  <c r="C173" i="18"/>
  <c r="C185" i="18"/>
  <c r="C197" i="18" s="1"/>
  <c r="C209" i="18" s="1"/>
  <c r="C175" i="18"/>
  <c r="C187" i="18"/>
  <c r="C199" i="18" s="1"/>
  <c r="C211" i="18" s="1"/>
  <c r="C186" i="18"/>
  <c r="C198" i="18" s="1"/>
  <c r="C210" i="18" s="1"/>
  <c r="C174" i="18"/>
  <c r="I35" i="29"/>
  <c r="C71" i="18"/>
  <c r="C83" i="18"/>
  <c r="C95" i="18" s="1"/>
  <c r="C107" i="18" s="1"/>
  <c r="C119" i="18" s="1"/>
  <c r="C131" i="18" s="1"/>
  <c r="C143" i="18" s="1"/>
  <c r="C155" i="18" s="1"/>
  <c r="H39" i="29"/>
  <c r="F38" i="29" l="1"/>
  <c r="C183" i="18"/>
  <c r="C195" i="18" s="1"/>
  <c r="C207" i="18" s="1"/>
  <c r="C171" i="18"/>
  <c r="F34" i="29"/>
  <c r="F39" i="29" s="1"/>
  <c r="C166" i="18"/>
  <c r="C178" i="18"/>
  <c r="C190" i="18" s="1"/>
  <c r="C202" i="18" s="1"/>
  <c r="D167" i="18"/>
  <c r="D179" i="18"/>
  <c r="D191" i="18" s="1"/>
  <c r="D203" i="18" s="1"/>
  <c r="I38" i="29"/>
  <c r="K38" i="29" s="1"/>
  <c r="K35" i="29"/>
  <c r="I34" i="29"/>
  <c r="K34" i="29" s="1"/>
  <c r="K21" i="29"/>
  <c r="D165" i="18"/>
  <c r="D177" i="18"/>
  <c r="D189" i="18" s="1"/>
  <c r="D201" i="18" s="1"/>
  <c r="D180" i="18"/>
  <c r="D192" i="18" s="1"/>
  <c r="D204" i="18" s="1"/>
  <c r="D168" i="18"/>
  <c r="Q14" i="18"/>
  <c r="Q13" i="18"/>
  <c r="C179" i="18"/>
  <c r="C191" i="18" s="1"/>
  <c r="C203" i="18" s="1"/>
  <c r="C167" i="18"/>
  <c r="C170" i="18"/>
  <c r="C182" i="18"/>
  <c r="C194" i="18" s="1"/>
  <c r="C206" i="18" s="1"/>
  <c r="D171" i="18"/>
  <c r="D183" i="18"/>
  <c r="D195" i="18" s="1"/>
  <c r="D207" i="18" s="1"/>
  <c r="D186" i="18"/>
  <c r="D198" i="18" s="1"/>
  <c r="D210" i="18" s="1"/>
  <c r="D174" i="18"/>
  <c r="I39" i="29" l="1"/>
  <c r="K39" i="29" s="1"/>
  <c r="E11" i="29"/>
  <c r="K20" i="18" l="1"/>
  <c r="K207" i="18"/>
  <c r="K195" i="18"/>
  <c r="K179" i="18"/>
  <c r="K167" i="18"/>
  <c r="K139" i="18"/>
  <c r="K127" i="18"/>
  <c r="K111" i="18"/>
  <c r="K95" i="18"/>
  <c r="K79" i="18"/>
  <c r="K63" i="18"/>
  <c r="K51" i="18"/>
  <c r="K35" i="18"/>
  <c r="K23" i="18"/>
  <c r="K193" i="18"/>
  <c r="K161" i="18"/>
  <c r="K129" i="18"/>
  <c r="K97" i="18"/>
  <c r="K57" i="18"/>
  <c r="K25" i="18"/>
  <c r="K194" i="18"/>
  <c r="K182" i="18"/>
  <c r="K170" i="18"/>
  <c r="K158" i="18"/>
  <c r="K146" i="18"/>
  <c r="K134" i="18"/>
  <c r="K118" i="18"/>
  <c r="K102" i="18"/>
  <c r="K90" i="18"/>
  <c r="K46" i="18"/>
  <c r="K34" i="18"/>
  <c r="K205" i="18"/>
  <c r="K189" i="18"/>
  <c r="K173" i="18"/>
  <c r="K141" i="18"/>
  <c r="K85" i="18"/>
  <c r="K200" i="18"/>
  <c r="K184" i="18"/>
  <c r="K160" i="18"/>
  <c r="K128" i="18"/>
  <c r="K164" i="18"/>
  <c r="K132" i="18"/>
  <c r="K84" i="18"/>
  <c r="K36" i="18"/>
  <c r="K80" i="18"/>
  <c r="K32" i="18"/>
  <c r="K24" i="18"/>
  <c r="K76" i="18"/>
  <c r="K104" i="18"/>
  <c r="K190" i="18"/>
  <c r="K114" i="18"/>
  <c r="K86" i="18"/>
  <c r="K62" i="18"/>
  <c r="K42" i="18"/>
  <c r="K165" i="18"/>
  <c r="K109" i="18"/>
  <c r="K53" i="18"/>
  <c r="K196" i="18"/>
  <c r="K152" i="18"/>
  <c r="K156" i="18"/>
  <c r="K120" i="18"/>
  <c r="K68" i="18"/>
  <c r="K112" i="18"/>
  <c r="K88" i="18"/>
  <c r="K60" i="18"/>
  <c r="E13" i="29"/>
  <c r="K191" i="18"/>
  <c r="K175" i="18"/>
  <c r="K163" i="18"/>
  <c r="K151" i="18"/>
  <c r="K135" i="18"/>
  <c r="K123" i="18"/>
  <c r="K107" i="18"/>
  <c r="K91" i="18"/>
  <c r="K75" i="18"/>
  <c r="K59" i="18"/>
  <c r="K47" i="18"/>
  <c r="K185" i="18"/>
  <c r="K153" i="18"/>
  <c r="K121" i="18"/>
  <c r="K73" i="18"/>
  <c r="K49" i="18"/>
  <c r="K188" i="18"/>
  <c r="K202" i="18"/>
  <c r="K178" i="18"/>
  <c r="K166" i="18"/>
  <c r="K154" i="18"/>
  <c r="K130" i="18"/>
  <c r="K98" i="18"/>
  <c r="K74" i="18"/>
  <c r="K54" i="18"/>
  <c r="K30" i="18"/>
  <c r="K133" i="18"/>
  <c r="K77" i="18"/>
  <c r="K29" i="18"/>
  <c r="K180" i="18"/>
  <c r="K208" i="18"/>
  <c r="K64" i="18"/>
  <c r="K108" i="18"/>
  <c r="K72" i="18"/>
  <c r="K203" i="18"/>
  <c r="K187" i="18"/>
  <c r="K159" i="18"/>
  <c r="K147" i="18"/>
  <c r="K131" i="18"/>
  <c r="K119" i="18"/>
  <c r="K103" i="18"/>
  <c r="K87" i="18"/>
  <c r="K71" i="18"/>
  <c r="K43" i="18"/>
  <c r="K31" i="18"/>
  <c r="K209" i="18"/>
  <c r="K177" i="18"/>
  <c r="K145" i="18"/>
  <c r="K113" i="18"/>
  <c r="K89" i="18"/>
  <c r="K65" i="18"/>
  <c r="K41" i="18"/>
  <c r="K210" i="18"/>
  <c r="K186" i="18"/>
  <c r="K162" i="18"/>
  <c r="K142" i="18"/>
  <c r="K126" i="18"/>
  <c r="K110" i="18"/>
  <c r="K82" i="18"/>
  <c r="K70" i="18"/>
  <c r="K26" i="18"/>
  <c r="K197" i="18"/>
  <c r="K181" i="18"/>
  <c r="K157" i="18"/>
  <c r="K125" i="18"/>
  <c r="K101" i="18"/>
  <c r="K69" i="18"/>
  <c r="K45" i="18"/>
  <c r="K21" i="18"/>
  <c r="K192" i="18"/>
  <c r="K172" i="18"/>
  <c r="K144" i="18"/>
  <c r="K148" i="18"/>
  <c r="K124" i="18"/>
  <c r="K100" i="18"/>
  <c r="K52" i="18"/>
  <c r="K48" i="18"/>
  <c r="K44" i="18"/>
  <c r="K40" i="18"/>
  <c r="K183" i="18"/>
  <c r="K67" i="18"/>
  <c r="K201" i="18"/>
  <c r="K81" i="18"/>
  <c r="K198" i="18"/>
  <c r="K150" i="18"/>
  <c r="K94" i="18"/>
  <c r="K50" i="18"/>
  <c r="K61" i="18"/>
  <c r="K168" i="18"/>
  <c r="K116" i="18"/>
  <c r="K155" i="18"/>
  <c r="K39" i="18"/>
  <c r="K33" i="18"/>
  <c r="K122" i="18"/>
  <c r="K22" i="18"/>
  <c r="K204" i="18"/>
  <c r="K143" i="18"/>
  <c r="K105" i="18"/>
  <c r="K140" i="18"/>
  <c r="K171" i="18"/>
  <c r="K115" i="18"/>
  <c r="K55" i="18"/>
  <c r="K169" i="18"/>
  <c r="K138" i="18"/>
  <c r="K78" i="18"/>
  <c r="K38" i="18"/>
  <c r="K149" i="18"/>
  <c r="K37" i="18"/>
  <c r="K136" i="18"/>
  <c r="K56" i="18"/>
  <c r="K211" i="18"/>
  <c r="K99" i="18"/>
  <c r="K137" i="18"/>
  <c r="K174" i="18"/>
  <c r="K66" i="18"/>
  <c r="K117" i="18"/>
  <c r="K176" i="18"/>
  <c r="K92" i="18"/>
  <c r="K199" i="18"/>
  <c r="K27" i="18"/>
  <c r="K206" i="18"/>
  <c r="K106" i="18"/>
  <c r="K58" i="18"/>
  <c r="K93" i="18"/>
  <c r="K96" i="18"/>
  <c r="K83" i="18"/>
  <c r="K28" i="18"/>
  <c r="K13" i="18" l="1"/>
  <c r="K14" i="18"/>
  <c r="K212" i="18"/>
  <c r="F12" i="29" l="1"/>
  <c r="I117" i="18" l="1"/>
  <c r="J117" i="18" s="1"/>
  <c r="L117" i="18" s="1"/>
  <c r="I49" i="18"/>
  <c r="J49" i="18" s="1"/>
  <c r="L49" i="18" s="1"/>
  <c r="I205" i="18"/>
  <c r="J205" i="18" s="1"/>
  <c r="L205" i="18" s="1"/>
  <c r="I46" i="18"/>
  <c r="J46" i="18" s="1"/>
  <c r="L46" i="18" s="1"/>
  <c r="I108" i="18"/>
  <c r="J108" i="18" s="1"/>
  <c r="L108" i="18" s="1"/>
  <c r="I201" i="18"/>
  <c r="J201" i="18" s="1"/>
  <c r="L201" i="18" s="1"/>
  <c r="I26" i="18"/>
  <c r="J26" i="18" s="1"/>
  <c r="L26" i="18" s="1"/>
  <c r="I179" i="18"/>
  <c r="J179" i="18" s="1"/>
  <c r="L179" i="18" s="1"/>
  <c r="I177" i="18"/>
  <c r="J177" i="18" s="1"/>
  <c r="L177" i="18" s="1"/>
  <c r="I89" i="18"/>
  <c r="J89" i="18" s="1"/>
  <c r="L89" i="18" s="1"/>
  <c r="I168" i="18"/>
  <c r="J168" i="18" s="1"/>
  <c r="L168" i="18" s="1"/>
  <c r="I45" i="18"/>
  <c r="J45" i="18" s="1"/>
  <c r="L45" i="18" s="1"/>
  <c r="I158" i="18"/>
  <c r="J158" i="18" s="1"/>
  <c r="L158" i="18" s="1"/>
  <c r="I136" i="18"/>
  <c r="J136" i="18" s="1"/>
  <c r="L136" i="18" s="1"/>
  <c r="I186" i="18"/>
  <c r="J186" i="18" s="1"/>
  <c r="L186" i="18" s="1"/>
  <c r="I138" i="18"/>
  <c r="J138" i="18" s="1"/>
  <c r="L138" i="18" s="1"/>
  <c r="I120" i="18"/>
  <c r="J120" i="18" s="1"/>
  <c r="L120" i="18" s="1"/>
  <c r="I190" i="18"/>
  <c r="J190" i="18" s="1"/>
  <c r="L190" i="18" s="1"/>
  <c r="I194" i="18"/>
  <c r="J194" i="18" s="1"/>
  <c r="L194" i="18" s="1"/>
  <c r="I133" i="18"/>
  <c r="J133" i="18" s="1"/>
  <c r="L133" i="18" s="1"/>
  <c r="I110" i="18"/>
  <c r="J110" i="18" s="1"/>
  <c r="L110" i="18" s="1"/>
  <c r="I173" i="18"/>
  <c r="J173" i="18" s="1"/>
  <c r="L173" i="18" s="1"/>
  <c r="I116" i="18"/>
  <c r="J116" i="18" s="1"/>
  <c r="L116" i="18" s="1"/>
  <c r="I128" i="18"/>
  <c r="J128" i="18" s="1"/>
  <c r="L128" i="18" s="1"/>
  <c r="I32" i="18"/>
  <c r="J32" i="18" s="1"/>
  <c r="L32" i="18" s="1"/>
  <c r="I192" i="18"/>
  <c r="J192" i="18" s="1"/>
  <c r="L192" i="18" s="1"/>
  <c r="I84" i="18"/>
  <c r="J84" i="18" s="1"/>
  <c r="L84" i="18" s="1"/>
  <c r="I121" i="18"/>
  <c r="J121" i="18" s="1"/>
  <c r="L121" i="18" s="1"/>
  <c r="I62" i="18"/>
  <c r="J62" i="18" s="1"/>
  <c r="L62" i="18" s="1"/>
  <c r="I75" i="18"/>
  <c r="J75" i="18" s="1"/>
  <c r="L75" i="18" s="1"/>
  <c r="I147" i="18"/>
  <c r="J147" i="18" s="1"/>
  <c r="L147" i="18" s="1"/>
  <c r="I176" i="18"/>
  <c r="J176" i="18" s="1"/>
  <c r="L176" i="18" s="1"/>
  <c r="I34" i="18"/>
  <c r="J34" i="18" s="1"/>
  <c r="L34" i="18" s="1"/>
  <c r="I210" i="18"/>
  <c r="J210" i="18" s="1"/>
  <c r="L210" i="18" s="1"/>
  <c r="I27" i="18"/>
  <c r="J27" i="18" s="1"/>
  <c r="L27" i="18" s="1"/>
  <c r="I129" i="18"/>
  <c r="J129" i="18" s="1"/>
  <c r="L129" i="18" s="1"/>
  <c r="I59" i="18"/>
  <c r="J59" i="18" s="1"/>
  <c r="L59" i="18" s="1"/>
  <c r="I154" i="18"/>
  <c r="J154" i="18" s="1"/>
  <c r="L154" i="18" s="1"/>
  <c r="I61" i="18"/>
  <c r="J61" i="18" s="1"/>
  <c r="L61" i="18" s="1"/>
  <c r="I206" i="18"/>
  <c r="J206" i="18" s="1"/>
  <c r="L206" i="18" s="1"/>
  <c r="I188" i="18"/>
  <c r="J188" i="18" s="1"/>
  <c r="L188" i="18" s="1"/>
  <c r="I198" i="18"/>
  <c r="J198" i="18" s="1"/>
  <c r="L198" i="18" s="1"/>
  <c r="I100" i="18"/>
  <c r="J100" i="18" s="1"/>
  <c r="L100" i="18" s="1"/>
  <c r="I141" i="18"/>
  <c r="J141" i="18" s="1"/>
  <c r="L141" i="18" s="1"/>
  <c r="I157" i="18"/>
  <c r="J157" i="18" s="1"/>
  <c r="L157" i="18" s="1"/>
  <c r="I24" i="18"/>
  <c r="J24" i="18" s="1"/>
  <c r="L24" i="18" s="1"/>
  <c r="I51" i="18"/>
  <c r="J51" i="18" s="1"/>
  <c r="L51" i="18" s="1"/>
  <c r="I65" i="18"/>
  <c r="J65" i="18" s="1"/>
  <c r="L65" i="18" s="1"/>
  <c r="I118" i="18"/>
  <c r="J118" i="18" s="1"/>
  <c r="L118" i="18" s="1"/>
  <c r="I29" i="18"/>
  <c r="J29" i="18" s="1"/>
  <c r="L29" i="18" s="1"/>
  <c r="I82" i="18"/>
  <c r="J82" i="18" s="1"/>
  <c r="L82" i="18" s="1"/>
  <c r="I25" i="18"/>
  <c r="J25" i="18" s="1"/>
  <c r="L25" i="18" s="1"/>
  <c r="I91" i="18"/>
  <c r="J91" i="18" s="1"/>
  <c r="L91" i="18" s="1"/>
  <c r="I123" i="18"/>
  <c r="J123" i="18" s="1"/>
  <c r="L123" i="18" s="1"/>
  <c r="I40" i="18"/>
  <c r="J40" i="18" s="1"/>
  <c r="L40" i="18" s="1"/>
  <c r="I96" i="18"/>
  <c r="J96" i="18" s="1"/>
  <c r="L96" i="18" s="1"/>
  <c r="I57" i="18"/>
  <c r="J57" i="18" s="1"/>
  <c r="L57" i="18" s="1"/>
  <c r="I146" i="18"/>
  <c r="J146" i="18" s="1"/>
  <c r="L146" i="18" s="1"/>
  <c r="I185" i="18"/>
  <c r="J185" i="18" s="1"/>
  <c r="L185" i="18" s="1"/>
  <c r="I153" i="18"/>
  <c r="J153" i="18" s="1"/>
  <c r="L153" i="18" s="1"/>
  <c r="I66" i="18"/>
  <c r="J66" i="18" s="1"/>
  <c r="L66" i="18" s="1"/>
  <c r="I77" i="18"/>
  <c r="J77" i="18" s="1"/>
  <c r="L77" i="18" s="1"/>
  <c r="I115" i="18"/>
  <c r="J115" i="18" s="1"/>
  <c r="L115" i="18" s="1"/>
  <c r="I181" i="18"/>
  <c r="J181" i="18" s="1"/>
  <c r="L181" i="18" s="1"/>
  <c r="I55" i="18"/>
  <c r="J55" i="18" s="1"/>
  <c r="L55" i="18" s="1"/>
  <c r="I161" i="18"/>
  <c r="J161" i="18" s="1"/>
  <c r="L161" i="18" s="1"/>
  <c r="I193" i="18"/>
  <c r="J193" i="18" s="1"/>
  <c r="L193" i="18" s="1"/>
  <c r="I197" i="18"/>
  <c r="J197" i="18" s="1"/>
  <c r="L197" i="18" s="1"/>
  <c r="I102" i="18"/>
  <c r="J102" i="18" s="1"/>
  <c r="L102" i="18" s="1"/>
  <c r="I38" i="18"/>
  <c r="J38" i="18" s="1"/>
  <c r="L38" i="18" s="1"/>
  <c r="I81" i="18"/>
  <c r="J81" i="18" s="1"/>
  <c r="L81" i="18" s="1"/>
  <c r="I159" i="18"/>
  <c r="J159" i="18" s="1"/>
  <c r="L159" i="18" s="1"/>
  <c r="I53" i="18"/>
  <c r="J53" i="18" s="1"/>
  <c r="L53" i="18" s="1"/>
  <c r="I169" i="18"/>
  <c r="J169" i="18" s="1"/>
  <c r="L169" i="18" s="1"/>
  <c r="I199" i="18"/>
  <c r="J199" i="18" s="1"/>
  <c r="L199" i="18" s="1"/>
  <c r="I140" i="18"/>
  <c r="J140" i="18" s="1"/>
  <c r="L140" i="18" s="1"/>
  <c r="I64" i="18"/>
  <c r="J64" i="18" s="1"/>
  <c r="L64" i="18" s="1"/>
  <c r="I58" i="18"/>
  <c r="J58" i="18" s="1"/>
  <c r="L58" i="18" s="1"/>
  <c r="I207" i="18"/>
  <c r="J207" i="18" s="1"/>
  <c r="L207" i="18" s="1"/>
  <c r="I111" i="18"/>
  <c r="J111" i="18" s="1"/>
  <c r="L111" i="18" s="1"/>
  <c r="I39" i="18"/>
  <c r="J39" i="18" s="1"/>
  <c r="L39" i="18" s="1"/>
  <c r="I142" i="18"/>
  <c r="J142" i="18" s="1"/>
  <c r="L142" i="18" s="1"/>
  <c r="I28" i="18"/>
  <c r="J28" i="18" s="1"/>
  <c r="L28" i="18" s="1"/>
  <c r="I90" i="18"/>
  <c r="J90" i="18" s="1"/>
  <c r="L90" i="18" s="1"/>
  <c r="I98" i="18"/>
  <c r="J98" i="18" s="1"/>
  <c r="L98" i="18" s="1"/>
  <c r="I152" i="18"/>
  <c r="J152" i="18" s="1"/>
  <c r="L152" i="18" s="1"/>
  <c r="I162" i="18"/>
  <c r="J162" i="18" s="1"/>
  <c r="L162" i="18" s="1"/>
  <c r="I99" i="18"/>
  <c r="J99" i="18" s="1"/>
  <c r="L99" i="18" s="1"/>
  <c r="I70" i="18"/>
  <c r="J70" i="18" s="1"/>
  <c r="L70" i="18" s="1"/>
  <c r="I175" i="18"/>
  <c r="J175" i="18" s="1"/>
  <c r="L175" i="18" s="1"/>
  <c r="I86" i="18"/>
  <c r="J86" i="18" s="1"/>
  <c r="L86" i="18" s="1"/>
  <c r="I182" i="18"/>
  <c r="J182" i="18" s="1"/>
  <c r="L182" i="18" s="1"/>
  <c r="I202" i="18"/>
  <c r="J202" i="18" s="1"/>
  <c r="L202" i="18" s="1"/>
  <c r="I74" i="18"/>
  <c r="J74" i="18" s="1"/>
  <c r="L74" i="18" s="1"/>
  <c r="I60" i="18"/>
  <c r="J60" i="18" s="1"/>
  <c r="L60" i="18" s="1"/>
  <c r="I69" i="18"/>
  <c r="J69" i="18" s="1"/>
  <c r="L69" i="18" s="1"/>
  <c r="I105" i="18"/>
  <c r="J105" i="18" s="1"/>
  <c r="L105" i="18" s="1"/>
  <c r="I20" i="18"/>
  <c r="J20" i="18" s="1"/>
  <c r="I195" i="18"/>
  <c r="J195" i="18" s="1"/>
  <c r="L195" i="18" s="1"/>
  <c r="I104" i="18"/>
  <c r="J104" i="18" s="1"/>
  <c r="L104" i="18" s="1"/>
  <c r="I163" i="18"/>
  <c r="J163" i="18" s="1"/>
  <c r="L163" i="18" s="1"/>
  <c r="I35" i="18"/>
  <c r="J35" i="18" s="1"/>
  <c r="L35" i="18" s="1"/>
  <c r="I114" i="18"/>
  <c r="J114" i="18" s="1"/>
  <c r="L114" i="18" s="1"/>
  <c r="I137" i="18"/>
  <c r="J137" i="18" s="1"/>
  <c r="L137" i="18" s="1"/>
  <c r="I106" i="18"/>
  <c r="J106" i="18" s="1"/>
  <c r="L106" i="18" s="1"/>
  <c r="I119" i="18"/>
  <c r="J119" i="18" s="1"/>
  <c r="L119" i="18" s="1"/>
  <c r="I41" i="18"/>
  <c r="J41" i="18" s="1"/>
  <c r="L41" i="18" s="1"/>
  <c r="I150" i="18"/>
  <c r="J150" i="18" s="1"/>
  <c r="L150" i="18" s="1"/>
  <c r="I109" i="18"/>
  <c r="J109" i="18" s="1"/>
  <c r="L109" i="18" s="1"/>
  <c r="I80" i="18"/>
  <c r="J80" i="18" s="1"/>
  <c r="L80" i="18" s="1"/>
  <c r="I171" i="18"/>
  <c r="J171" i="18" s="1"/>
  <c r="L171" i="18" s="1"/>
  <c r="I203" i="18"/>
  <c r="J203" i="18" s="1"/>
  <c r="L203" i="18" s="1"/>
  <c r="I68" i="18"/>
  <c r="J68" i="18" s="1"/>
  <c r="L68" i="18" s="1"/>
  <c r="I56" i="18"/>
  <c r="J56" i="18" s="1"/>
  <c r="I36" i="18"/>
  <c r="J36" i="18" s="1"/>
  <c r="L36" i="18" s="1"/>
  <c r="I76" i="18"/>
  <c r="J76" i="18" s="1"/>
  <c r="L76" i="18" s="1"/>
  <c r="I155" i="18"/>
  <c r="J155" i="18" s="1"/>
  <c r="L155" i="18" s="1"/>
  <c r="I95" i="18"/>
  <c r="J95" i="18" s="1"/>
  <c r="L95" i="18" s="1"/>
  <c r="I184" i="18"/>
  <c r="J184" i="18" s="1"/>
  <c r="L184" i="18" s="1"/>
  <c r="I139" i="18"/>
  <c r="J139" i="18" s="1"/>
  <c r="L139" i="18" s="1"/>
  <c r="I48" i="18"/>
  <c r="J48" i="18" s="1"/>
  <c r="L48" i="18" s="1"/>
  <c r="I156" i="18"/>
  <c r="J156" i="18" s="1"/>
  <c r="L156" i="18" s="1"/>
  <c r="F14" i="29"/>
  <c r="I63" i="18"/>
  <c r="J63" i="18" s="1"/>
  <c r="L63" i="18" s="1"/>
  <c r="I196" i="18"/>
  <c r="J196" i="18" s="1"/>
  <c r="L196" i="18" s="1"/>
  <c r="I44" i="18"/>
  <c r="J44" i="18" s="1"/>
  <c r="L44" i="18" s="1"/>
  <c r="I21" i="18"/>
  <c r="J21" i="18" s="1"/>
  <c r="L21" i="18" s="1"/>
  <c r="I145" i="18"/>
  <c r="J145" i="18" s="1"/>
  <c r="L145" i="18" s="1"/>
  <c r="I22" i="18"/>
  <c r="J22" i="18" s="1"/>
  <c r="L22" i="18" s="1"/>
  <c r="I94" i="18"/>
  <c r="J94" i="18" s="1"/>
  <c r="L94" i="18" s="1"/>
  <c r="I79" i="18"/>
  <c r="J79" i="18" s="1"/>
  <c r="L79" i="18" s="1"/>
  <c r="I187" i="18"/>
  <c r="J187" i="18" s="1"/>
  <c r="L187" i="18" s="1"/>
  <c r="I183" i="18"/>
  <c r="J183" i="18" s="1"/>
  <c r="L183" i="18" s="1"/>
  <c r="I47" i="18"/>
  <c r="J47" i="18" s="1"/>
  <c r="L47" i="18" s="1"/>
  <c r="I54" i="18"/>
  <c r="J54" i="18" s="1"/>
  <c r="L54" i="18" s="1"/>
  <c r="I103" i="18"/>
  <c r="J103" i="18" s="1"/>
  <c r="L103" i="18" s="1"/>
  <c r="I172" i="18"/>
  <c r="J172" i="18" s="1"/>
  <c r="L172" i="18" s="1"/>
  <c r="I73" i="18"/>
  <c r="J73" i="18" s="1"/>
  <c r="L73" i="18" s="1"/>
  <c r="I130" i="18"/>
  <c r="J130" i="18" s="1"/>
  <c r="L130" i="18" s="1"/>
  <c r="I208" i="18"/>
  <c r="J208" i="18" s="1"/>
  <c r="L208" i="18" s="1"/>
  <c r="I92" i="18"/>
  <c r="J92" i="18" s="1"/>
  <c r="L92" i="18" s="1"/>
  <c r="I134" i="18"/>
  <c r="J134" i="18" s="1"/>
  <c r="L134" i="18" s="1"/>
  <c r="I211" i="18"/>
  <c r="J211" i="18" s="1"/>
  <c r="L211" i="18" s="1"/>
  <c r="I33" i="18"/>
  <c r="J33" i="18" s="1"/>
  <c r="L33" i="18" s="1"/>
  <c r="I178" i="18"/>
  <c r="J178" i="18" s="1"/>
  <c r="L178" i="18" s="1"/>
  <c r="I112" i="18"/>
  <c r="J112" i="18" s="1"/>
  <c r="L112" i="18" s="1"/>
  <c r="I132" i="18"/>
  <c r="J132" i="18" s="1"/>
  <c r="L132" i="18" s="1"/>
  <c r="I191" i="18"/>
  <c r="J191" i="18" s="1"/>
  <c r="L191" i="18" s="1"/>
  <c r="I209" i="18"/>
  <c r="J209" i="18" s="1"/>
  <c r="L209" i="18" s="1"/>
  <c r="I52" i="18"/>
  <c r="J52" i="18" s="1"/>
  <c r="L52" i="18" s="1"/>
  <c r="I148" i="18"/>
  <c r="J148" i="18" s="1"/>
  <c r="L148" i="18" s="1"/>
  <c r="I101" i="18"/>
  <c r="J101" i="18" s="1"/>
  <c r="L101" i="18" s="1"/>
  <c r="I42" i="18"/>
  <c r="J42" i="18" s="1"/>
  <c r="L42" i="18" s="1"/>
  <c r="I131" i="18"/>
  <c r="J131" i="18" s="1"/>
  <c r="L131" i="18" s="1"/>
  <c r="I93" i="18"/>
  <c r="J93" i="18" s="1"/>
  <c r="L93" i="18" s="1"/>
  <c r="I167" i="18"/>
  <c r="J167" i="18" s="1"/>
  <c r="L167" i="18" s="1"/>
  <c r="I127" i="18"/>
  <c r="J127" i="18" s="1"/>
  <c r="L127" i="18" s="1"/>
  <c r="I124" i="18"/>
  <c r="J124" i="18" s="1"/>
  <c r="L124" i="18" s="1"/>
  <c r="I122" i="18"/>
  <c r="J122" i="18" s="1"/>
  <c r="L122" i="18" s="1"/>
  <c r="I37" i="18"/>
  <c r="J37" i="18" s="1"/>
  <c r="L37" i="18" s="1"/>
  <c r="I43" i="18"/>
  <c r="J43" i="18" s="1"/>
  <c r="L43" i="18" s="1"/>
  <c r="I67" i="18"/>
  <c r="J67" i="18" s="1"/>
  <c r="L67" i="18" s="1"/>
  <c r="I165" i="18"/>
  <c r="J165" i="18" s="1"/>
  <c r="L165" i="18" s="1"/>
  <c r="I113" i="18"/>
  <c r="J113" i="18" s="1"/>
  <c r="L113" i="18" s="1"/>
  <c r="I78" i="18"/>
  <c r="J78" i="18" s="1"/>
  <c r="L78" i="18" s="1"/>
  <c r="I189" i="18"/>
  <c r="J189" i="18" s="1"/>
  <c r="L189" i="18" s="1"/>
  <c r="I151" i="18"/>
  <c r="J151" i="18" s="1"/>
  <c r="L151" i="18" s="1"/>
  <c r="I85" i="18"/>
  <c r="J85" i="18" s="1"/>
  <c r="L85" i="18" s="1"/>
  <c r="I149" i="18"/>
  <c r="J149" i="18" s="1"/>
  <c r="L149" i="18" s="1"/>
  <c r="I83" i="18"/>
  <c r="J83" i="18" s="1"/>
  <c r="L83" i="18" s="1"/>
  <c r="I71" i="18"/>
  <c r="J71" i="18" s="1"/>
  <c r="L71" i="18" s="1"/>
  <c r="I87" i="18"/>
  <c r="J87" i="18" s="1"/>
  <c r="L87" i="18" s="1"/>
  <c r="I107" i="18"/>
  <c r="J107" i="18" s="1"/>
  <c r="L107" i="18" s="1"/>
  <c r="I72" i="18"/>
  <c r="J72" i="18" s="1"/>
  <c r="L72" i="18" s="1"/>
  <c r="I50" i="18"/>
  <c r="J50" i="18" s="1"/>
  <c r="L50" i="18" s="1"/>
  <c r="I204" i="18"/>
  <c r="J204" i="18" s="1"/>
  <c r="L204" i="18" s="1"/>
  <c r="I30" i="18"/>
  <c r="J30" i="18" s="1"/>
  <c r="L30" i="18" s="1"/>
  <c r="I97" i="18"/>
  <c r="J97" i="18" s="1"/>
  <c r="L97" i="18" s="1"/>
  <c r="I23" i="18"/>
  <c r="J23" i="18" s="1"/>
  <c r="L23" i="18" s="1"/>
  <c r="I144" i="18"/>
  <c r="J144" i="18" s="1"/>
  <c r="L144" i="18" s="1"/>
  <c r="I200" i="18"/>
  <c r="J200" i="18" s="1"/>
  <c r="L200" i="18" s="1"/>
  <c r="I170" i="18"/>
  <c r="J170" i="18" s="1"/>
  <c r="L170" i="18" s="1"/>
  <c r="I143" i="18"/>
  <c r="J143" i="18" s="1"/>
  <c r="L143" i="18" s="1"/>
  <c r="I126" i="18"/>
  <c r="J126" i="18" s="1"/>
  <c r="L126" i="18" s="1"/>
  <c r="I125" i="18"/>
  <c r="J125" i="18" s="1"/>
  <c r="L125" i="18" s="1"/>
  <c r="I174" i="18"/>
  <c r="J174" i="18" s="1"/>
  <c r="L174" i="18" s="1"/>
  <c r="I135" i="18"/>
  <c r="J135" i="18" s="1"/>
  <c r="L135" i="18" s="1"/>
  <c r="I160" i="18"/>
  <c r="J160" i="18" s="1"/>
  <c r="L160" i="18" s="1"/>
  <c r="I166" i="18"/>
  <c r="J166" i="18" s="1"/>
  <c r="L166" i="18" s="1"/>
  <c r="I88" i="18"/>
  <c r="J88" i="18" s="1"/>
  <c r="L88" i="18" s="1"/>
  <c r="I180" i="18"/>
  <c r="J180" i="18" s="1"/>
  <c r="L180" i="18" s="1"/>
  <c r="I164" i="18"/>
  <c r="J164" i="18" s="1"/>
  <c r="L164" i="18" s="1"/>
  <c r="I31" i="18"/>
  <c r="J31" i="18" s="1"/>
  <c r="L31" i="18" s="1"/>
  <c r="L56" i="18" l="1"/>
  <c r="J13" i="18"/>
  <c r="L20" i="18"/>
  <c r="J212" i="18"/>
  <c r="J14" i="18"/>
  <c r="L212" i="18" l="1"/>
  <c r="L14" i="18"/>
  <c r="L13" i="18"/>
  <c r="M151" i="18" l="1"/>
  <c r="N151" i="18" s="1"/>
  <c r="R151" i="18" s="1"/>
  <c r="M30" i="18"/>
  <c r="N30" i="18" s="1"/>
  <c r="R30" i="18" s="1"/>
  <c r="M116" i="18"/>
  <c r="N116" i="18" s="1"/>
  <c r="R116" i="18" s="1"/>
  <c r="M97" i="18"/>
  <c r="N97" i="18" s="1"/>
  <c r="R97" i="18" s="1"/>
  <c r="M33" i="18"/>
  <c r="N33" i="18" s="1"/>
  <c r="R33" i="18" s="1"/>
  <c r="M28" i="18"/>
  <c r="N28" i="18" s="1"/>
  <c r="R28" i="18" s="1"/>
  <c r="M93" i="18"/>
  <c r="N93" i="18" s="1"/>
  <c r="R93" i="18" s="1"/>
  <c r="M157" i="18"/>
  <c r="N157" i="18" s="1"/>
  <c r="R157" i="18" s="1"/>
  <c r="M73" i="18"/>
  <c r="N73" i="18" s="1"/>
  <c r="R73" i="18" s="1"/>
  <c r="M102" i="18"/>
  <c r="N102" i="18" s="1"/>
  <c r="R102" i="18" s="1"/>
  <c r="M150" i="18"/>
  <c r="N150" i="18" s="1"/>
  <c r="R150" i="18" s="1"/>
  <c r="M161" i="18"/>
  <c r="N161" i="18" s="1"/>
  <c r="R161" i="18" s="1"/>
  <c r="M208" i="18"/>
  <c r="N208" i="18" s="1"/>
  <c r="R208" i="18" s="1"/>
  <c r="M46" i="18"/>
  <c r="N46" i="18" s="1"/>
  <c r="R46" i="18" s="1"/>
  <c r="M55" i="18"/>
  <c r="N55" i="18" s="1"/>
  <c r="R55" i="18" s="1"/>
  <c r="M188" i="18"/>
  <c r="N188" i="18" s="1"/>
  <c r="R188" i="18" s="1"/>
  <c r="M63" i="18"/>
  <c r="N63" i="18" s="1"/>
  <c r="R63" i="18" s="1"/>
  <c r="M207" i="18"/>
  <c r="N207" i="18" s="1"/>
  <c r="R207" i="18" s="1"/>
  <c r="M65" i="18"/>
  <c r="N65" i="18" s="1"/>
  <c r="R65" i="18" s="1"/>
  <c r="M141" i="18"/>
  <c r="N141" i="18" s="1"/>
  <c r="R141" i="18" s="1"/>
  <c r="M107" i="18"/>
  <c r="N107" i="18" s="1"/>
  <c r="R107" i="18" s="1"/>
  <c r="M22" i="18"/>
  <c r="N22" i="18" s="1"/>
  <c r="R22" i="18" s="1"/>
  <c r="M160" i="18"/>
  <c r="N160" i="18" s="1"/>
  <c r="R160" i="18" s="1"/>
  <c r="M152" i="18"/>
  <c r="N152" i="18" s="1"/>
  <c r="R152" i="18" s="1"/>
  <c r="M198" i="18"/>
  <c r="N198" i="18" s="1"/>
  <c r="R198" i="18" s="1"/>
  <c r="M126" i="18"/>
  <c r="N126" i="18" s="1"/>
  <c r="R126" i="18" s="1"/>
  <c r="M111" i="18"/>
  <c r="N111" i="18" s="1"/>
  <c r="R111" i="18" s="1"/>
  <c r="M178" i="18"/>
  <c r="N178" i="18" s="1"/>
  <c r="R178" i="18" s="1"/>
  <c r="M78" i="18"/>
  <c r="N78" i="18" s="1"/>
  <c r="R78" i="18" s="1"/>
  <c r="M196" i="18"/>
  <c r="N196" i="18" s="1"/>
  <c r="R196" i="18" s="1"/>
  <c r="M52" i="18"/>
  <c r="N52" i="18" s="1"/>
  <c r="R52" i="18" s="1"/>
  <c r="M92" i="18"/>
  <c r="N92" i="18" s="1"/>
  <c r="R92" i="18" s="1"/>
  <c r="M192" i="18"/>
  <c r="N192" i="18" s="1"/>
  <c r="R192" i="18" s="1"/>
  <c r="M88" i="18"/>
  <c r="N88" i="18" s="1"/>
  <c r="R88" i="18" s="1"/>
  <c r="M130" i="18"/>
  <c r="N130" i="18" s="1"/>
  <c r="R130" i="18" s="1"/>
  <c r="M168" i="18"/>
  <c r="N168" i="18" s="1"/>
  <c r="R168" i="18" s="1"/>
  <c r="M153" i="18"/>
  <c r="N153" i="18" s="1"/>
  <c r="R153" i="18" s="1"/>
  <c r="M24" i="18"/>
  <c r="N24" i="18" s="1"/>
  <c r="R24" i="18" s="1"/>
  <c r="M154" i="18"/>
  <c r="N154" i="18" s="1"/>
  <c r="R154" i="18" s="1"/>
  <c r="M25" i="18"/>
  <c r="N25" i="18" s="1"/>
  <c r="R25" i="18" s="1"/>
  <c r="M140" i="18"/>
  <c r="N140" i="18" s="1"/>
  <c r="R140" i="18" s="1"/>
  <c r="M57" i="18"/>
  <c r="N57" i="18" s="1"/>
  <c r="R57" i="18" s="1"/>
  <c r="M120" i="18"/>
  <c r="N120" i="18" s="1"/>
  <c r="R120" i="18" s="1"/>
  <c r="M32" i="18"/>
  <c r="N32" i="18" s="1"/>
  <c r="R32" i="18" s="1"/>
  <c r="M62" i="18"/>
  <c r="N62" i="18" s="1"/>
  <c r="R62" i="18" s="1"/>
  <c r="M181" i="18"/>
  <c r="N181" i="18" s="1"/>
  <c r="R181" i="18" s="1"/>
  <c r="M134" i="18"/>
  <c r="N134" i="18" s="1"/>
  <c r="R134" i="18" s="1"/>
  <c r="M190" i="18"/>
  <c r="N190" i="18" s="1"/>
  <c r="R190" i="18" s="1"/>
  <c r="M138" i="18"/>
  <c r="N138" i="18" s="1"/>
  <c r="R138" i="18" s="1"/>
  <c r="M39" i="18"/>
  <c r="N39" i="18" s="1"/>
  <c r="R39" i="18" s="1"/>
  <c r="M114" i="18"/>
  <c r="N114" i="18" s="1"/>
  <c r="R114" i="18" s="1"/>
  <c r="M100" i="18"/>
  <c r="N100" i="18" s="1"/>
  <c r="R100" i="18" s="1"/>
  <c r="M159" i="18"/>
  <c r="N159" i="18" s="1"/>
  <c r="R159" i="18" s="1"/>
  <c r="M125" i="18"/>
  <c r="N125" i="18" s="1"/>
  <c r="R125" i="18" s="1"/>
  <c r="M108" i="18"/>
  <c r="N108" i="18" s="1"/>
  <c r="R108" i="18" s="1"/>
  <c r="M166" i="18"/>
  <c r="N166" i="18" s="1"/>
  <c r="R166" i="18" s="1"/>
  <c r="M155" i="18"/>
  <c r="N155" i="18" s="1"/>
  <c r="R155" i="18" s="1"/>
  <c r="M34" i="18"/>
  <c r="N34" i="18" s="1"/>
  <c r="R34" i="18" s="1"/>
  <c r="M71" i="18"/>
  <c r="N71" i="18" s="1"/>
  <c r="R71" i="18" s="1"/>
  <c r="M148" i="18"/>
  <c r="N148" i="18" s="1"/>
  <c r="R148" i="18" s="1"/>
  <c r="M127" i="18"/>
  <c r="N127" i="18" s="1"/>
  <c r="R127" i="18" s="1"/>
  <c r="M200" i="18"/>
  <c r="N200" i="18" s="1"/>
  <c r="R200" i="18" s="1"/>
  <c r="M167" i="18"/>
  <c r="N167" i="18" s="1"/>
  <c r="R167" i="18" s="1"/>
  <c r="M117" i="18"/>
  <c r="N117" i="18" s="1"/>
  <c r="R117" i="18" s="1"/>
  <c r="M183" i="18"/>
  <c r="N183" i="18" s="1"/>
  <c r="R183" i="18" s="1"/>
  <c r="M169" i="18"/>
  <c r="N169" i="18" s="1"/>
  <c r="R169" i="18" s="1"/>
  <c r="M145" i="18"/>
  <c r="N145" i="18" s="1"/>
  <c r="R145" i="18" s="1"/>
  <c r="M72" i="18"/>
  <c r="N72" i="18" s="1"/>
  <c r="R72" i="18" s="1"/>
  <c r="M20" i="18"/>
  <c r="M44" i="18"/>
  <c r="N44" i="18" s="1"/>
  <c r="R44" i="18" s="1"/>
  <c r="M131" i="18"/>
  <c r="N131" i="18" s="1"/>
  <c r="R131" i="18" s="1"/>
  <c r="M176" i="18"/>
  <c r="N176" i="18" s="1"/>
  <c r="R176" i="18" s="1"/>
  <c r="M121" i="18"/>
  <c r="N121" i="18" s="1"/>
  <c r="R121" i="18" s="1"/>
  <c r="M64" i="18"/>
  <c r="N64" i="18" s="1"/>
  <c r="R64" i="18" s="1"/>
  <c r="M40" i="18"/>
  <c r="N40" i="18" s="1"/>
  <c r="R40" i="18" s="1"/>
  <c r="M122" i="18"/>
  <c r="N122" i="18" s="1"/>
  <c r="R122" i="18" s="1"/>
  <c r="M47" i="18"/>
  <c r="N47" i="18" s="1"/>
  <c r="R47" i="18" s="1"/>
  <c r="M165" i="18"/>
  <c r="N165" i="18" s="1"/>
  <c r="R165" i="18" s="1"/>
  <c r="M54" i="18"/>
  <c r="N54" i="18" s="1"/>
  <c r="R54" i="18" s="1"/>
  <c r="M163" i="18"/>
  <c r="N163" i="18" s="1"/>
  <c r="R163" i="18" s="1"/>
  <c r="M171" i="18"/>
  <c r="N171" i="18" s="1"/>
  <c r="R171" i="18" s="1"/>
  <c r="M209" i="18"/>
  <c r="N209" i="18" s="1"/>
  <c r="R209" i="18" s="1"/>
  <c r="M70" i="18"/>
  <c r="N70" i="18" s="1"/>
  <c r="R70" i="18" s="1"/>
  <c r="M83" i="18"/>
  <c r="N83" i="18" s="1"/>
  <c r="R83" i="18" s="1"/>
  <c r="M179" i="18"/>
  <c r="N179" i="18" s="1"/>
  <c r="R179" i="18" s="1"/>
  <c r="M59" i="18"/>
  <c r="N59" i="18" s="1"/>
  <c r="R59" i="18" s="1"/>
  <c r="M29" i="18"/>
  <c r="N29" i="18" s="1"/>
  <c r="R29" i="18" s="1"/>
  <c r="M23" i="18"/>
  <c r="N23" i="18" s="1"/>
  <c r="R23" i="18" s="1"/>
  <c r="M99" i="18"/>
  <c r="N99" i="18" s="1"/>
  <c r="R99" i="18" s="1"/>
  <c r="M186" i="18"/>
  <c r="N186" i="18" s="1"/>
  <c r="R186" i="18" s="1"/>
  <c r="M85" i="18"/>
  <c r="N85" i="18" s="1"/>
  <c r="R85" i="18" s="1"/>
  <c r="M43" i="18"/>
  <c r="N43" i="18" s="1"/>
  <c r="R43" i="18" s="1"/>
  <c r="M162" i="18"/>
  <c r="N162" i="18" s="1"/>
  <c r="R162" i="18" s="1"/>
  <c r="M106" i="18"/>
  <c r="N106" i="18" s="1"/>
  <c r="R106" i="18" s="1"/>
  <c r="M115" i="18"/>
  <c r="N115" i="18" s="1"/>
  <c r="R115" i="18" s="1"/>
  <c r="M35" i="18"/>
  <c r="N35" i="18" s="1"/>
  <c r="R35" i="18" s="1"/>
  <c r="M68" i="18"/>
  <c r="N68" i="18" s="1"/>
  <c r="R68" i="18" s="1"/>
  <c r="M128" i="18"/>
  <c r="N128" i="18" s="1"/>
  <c r="R128" i="18" s="1"/>
  <c r="M42" i="18"/>
  <c r="N42" i="18" s="1"/>
  <c r="R42" i="18" s="1"/>
  <c r="M50" i="18"/>
  <c r="N50" i="18" s="1"/>
  <c r="R50" i="18" s="1"/>
  <c r="M41" i="18"/>
  <c r="N41" i="18" s="1"/>
  <c r="R41" i="18" s="1"/>
  <c r="M210" i="18"/>
  <c r="N210" i="18" s="1"/>
  <c r="R210" i="18" s="1"/>
  <c r="M137" i="18"/>
  <c r="N137" i="18" s="1"/>
  <c r="R137" i="18" s="1"/>
  <c r="M36" i="18"/>
  <c r="N36" i="18" s="1"/>
  <c r="R36" i="18" s="1"/>
  <c r="M87" i="18"/>
  <c r="N87" i="18" s="1"/>
  <c r="R87" i="18" s="1"/>
  <c r="M31" i="18"/>
  <c r="N31" i="18" s="1"/>
  <c r="R31" i="18" s="1"/>
  <c r="M202" i="18"/>
  <c r="N202" i="18" s="1"/>
  <c r="R202" i="18" s="1"/>
  <c r="M142" i="18"/>
  <c r="N142" i="18" s="1"/>
  <c r="R142" i="18" s="1"/>
  <c r="M143" i="18"/>
  <c r="N143" i="18" s="1"/>
  <c r="R143" i="18" s="1"/>
  <c r="M133" i="18"/>
  <c r="N133" i="18" s="1"/>
  <c r="R133" i="18" s="1"/>
  <c r="M109" i="18"/>
  <c r="N109" i="18" s="1"/>
  <c r="R109" i="18" s="1"/>
  <c r="M37" i="18"/>
  <c r="N37" i="18" s="1"/>
  <c r="R37" i="18" s="1"/>
  <c r="M113" i="18"/>
  <c r="N113" i="18" s="1"/>
  <c r="R113" i="18" s="1"/>
  <c r="M51" i="18"/>
  <c r="N51" i="18" s="1"/>
  <c r="R51" i="18" s="1"/>
  <c r="M58" i="18"/>
  <c r="N58" i="18" s="1"/>
  <c r="R58" i="18" s="1"/>
  <c r="M194" i="18"/>
  <c r="N194" i="18" s="1"/>
  <c r="R194" i="18" s="1"/>
  <c r="M175" i="18"/>
  <c r="N175" i="18" s="1"/>
  <c r="R175" i="18" s="1"/>
  <c r="M211" i="18"/>
  <c r="N211" i="18" s="1"/>
  <c r="R211" i="18" s="1"/>
  <c r="M139" i="18"/>
  <c r="N139" i="18" s="1"/>
  <c r="R139" i="18" s="1"/>
  <c r="M174" i="18"/>
  <c r="N174" i="18" s="1"/>
  <c r="R174" i="18" s="1"/>
  <c r="M177" i="18"/>
  <c r="N177" i="18" s="1"/>
  <c r="R177" i="18" s="1"/>
  <c r="M191" i="18"/>
  <c r="N191" i="18" s="1"/>
  <c r="R191" i="18" s="1"/>
  <c r="M123" i="18"/>
  <c r="N123" i="18" s="1"/>
  <c r="R123" i="18" s="1"/>
  <c r="M144" i="18"/>
  <c r="N144" i="18" s="1"/>
  <c r="R144" i="18" s="1"/>
  <c r="M135" i="18"/>
  <c r="N135" i="18" s="1"/>
  <c r="R135" i="18" s="1"/>
  <c r="M49" i="18"/>
  <c r="N49" i="18" s="1"/>
  <c r="R49" i="18" s="1"/>
  <c r="M124" i="18"/>
  <c r="N124" i="18" s="1"/>
  <c r="R124" i="18" s="1"/>
  <c r="M56" i="18"/>
  <c r="M81" i="18"/>
  <c r="N81" i="18" s="1"/>
  <c r="R81" i="18" s="1"/>
  <c r="M27" i="18"/>
  <c r="N27" i="18" s="1"/>
  <c r="R27" i="18" s="1"/>
  <c r="M203" i="18"/>
  <c r="N203" i="18" s="1"/>
  <c r="R203" i="18" s="1"/>
  <c r="M94" i="18"/>
  <c r="N94" i="18" s="1"/>
  <c r="R94" i="18" s="1"/>
  <c r="M79" i="18"/>
  <c r="N79" i="18" s="1"/>
  <c r="R79" i="18" s="1"/>
  <c r="M77" i="18"/>
  <c r="N77" i="18" s="1"/>
  <c r="R77" i="18" s="1"/>
  <c r="M197" i="18"/>
  <c r="N197" i="18" s="1"/>
  <c r="R197" i="18" s="1"/>
  <c r="M158" i="18"/>
  <c r="N158" i="18" s="1"/>
  <c r="R158" i="18" s="1"/>
  <c r="M182" i="18"/>
  <c r="N182" i="18" s="1"/>
  <c r="R182" i="18" s="1"/>
  <c r="M89" i="18"/>
  <c r="N89" i="18" s="1"/>
  <c r="R89" i="18" s="1"/>
  <c r="M136" i="18"/>
  <c r="N136" i="18" s="1"/>
  <c r="R136" i="18" s="1"/>
  <c r="M84" i="18"/>
  <c r="N84" i="18" s="1"/>
  <c r="R84" i="18" s="1"/>
  <c r="M173" i="18"/>
  <c r="N173" i="18" s="1"/>
  <c r="R173" i="18" s="1"/>
  <c r="M119" i="18"/>
  <c r="N119" i="18" s="1"/>
  <c r="R119" i="18" s="1"/>
  <c r="M185" i="18"/>
  <c r="N185" i="18" s="1"/>
  <c r="R185" i="18" s="1"/>
  <c r="M199" i="18"/>
  <c r="N199" i="18" s="1"/>
  <c r="R199" i="18" s="1"/>
  <c r="M129" i="18"/>
  <c r="N129" i="18" s="1"/>
  <c r="R129" i="18" s="1"/>
  <c r="M96" i="18"/>
  <c r="N96" i="18" s="1"/>
  <c r="R96" i="18" s="1"/>
  <c r="M104" i="18"/>
  <c r="N104" i="18" s="1"/>
  <c r="R104" i="18" s="1"/>
  <c r="M204" i="18"/>
  <c r="N204" i="18" s="1"/>
  <c r="R204" i="18" s="1"/>
  <c r="M48" i="18"/>
  <c r="N48" i="18" s="1"/>
  <c r="R48" i="18" s="1"/>
  <c r="M76" i="18"/>
  <c r="N76" i="18" s="1"/>
  <c r="R76" i="18" s="1"/>
  <c r="M91" i="18"/>
  <c r="N91" i="18" s="1"/>
  <c r="R91" i="18" s="1"/>
  <c r="M67" i="18"/>
  <c r="N67" i="18" s="1"/>
  <c r="R67" i="18" s="1"/>
  <c r="M66" i="18"/>
  <c r="N66" i="18" s="1"/>
  <c r="R66" i="18" s="1"/>
  <c r="M118" i="18"/>
  <c r="N118" i="18" s="1"/>
  <c r="R118" i="18" s="1"/>
  <c r="M164" i="18"/>
  <c r="N164" i="18" s="1"/>
  <c r="R164" i="18" s="1"/>
  <c r="M82" i="18"/>
  <c r="N82" i="18" s="1"/>
  <c r="R82" i="18" s="1"/>
  <c r="M205" i="18"/>
  <c r="N205" i="18" s="1"/>
  <c r="R205" i="18" s="1"/>
  <c r="M193" i="18"/>
  <c r="N193" i="18" s="1"/>
  <c r="R193" i="18" s="1"/>
  <c r="M26" i="18"/>
  <c r="N26" i="18" s="1"/>
  <c r="R26" i="18" s="1"/>
  <c r="M53" i="18"/>
  <c r="N53" i="18" s="1"/>
  <c r="R53" i="18" s="1"/>
  <c r="M69" i="18"/>
  <c r="N69" i="18" s="1"/>
  <c r="R69" i="18" s="1"/>
  <c r="M170" i="18"/>
  <c r="N170" i="18" s="1"/>
  <c r="R170" i="18" s="1"/>
  <c r="M98" i="18"/>
  <c r="N98" i="18" s="1"/>
  <c r="R98" i="18" s="1"/>
  <c r="M60" i="18"/>
  <c r="N60" i="18" s="1"/>
  <c r="R60" i="18" s="1"/>
  <c r="M156" i="18"/>
  <c r="N156" i="18" s="1"/>
  <c r="R156" i="18" s="1"/>
  <c r="M195" i="18"/>
  <c r="N195" i="18" s="1"/>
  <c r="R195" i="18" s="1"/>
  <c r="M172" i="18"/>
  <c r="N172" i="18" s="1"/>
  <c r="R172" i="18" s="1"/>
  <c r="M187" i="18"/>
  <c r="N187" i="18" s="1"/>
  <c r="R187" i="18" s="1"/>
  <c r="M90" i="18"/>
  <c r="N90" i="18" s="1"/>
  <c r="R90" i="18" s="1"/>
  <c r="M146" i="18"/>
  <c r="N146" i="18" s="1"/>
  <c r="R146" i="18" s="1"/>
  <c r="M180" i="18"/>
  <c r="N180" i="18" s="1"/>
  <c r="R180" i="18" s="1"/>
  <c r="M147" i="18"/>
  <c r="N147" i="18" s="1"/>
  <c r="R147" i="18" s="1"/>
  <c r="M206" i="18"/>
  <c r="N206" i="18" s="1"/>
  <c r="R206" i="18" s="1"/>
  <c r="M80" i="18"/>
  <c r="N80" i="18" s="1"/>
  <c r="R80" i="18" s="1"/>
  <c r="M38" i="18"/>
  <c r="N38" i="18" s="1"/>
  <c r="R38" i="18" s="1"/>
  <c r="M61" i="18"/>
  <c r="N61" i="18" s="1"/>
  <c r="R61" i="18" s="1"/>
  <c r="M45" i="18"/>
  <c r="N45" i="18" s="1"/>
  <c r="R45" i="18" s="1"/>
  <c r="M149" i="18"/>
  <c r="N149" i="18" s="1"/>
  <c r="R149" i="18" s="1"/>
  <c r="M132" i="18"/>
  <c r="N132" i="18" s="1"/>
  <c r="R132" i="18" s="1"/>
  <c r="M110" i="18"/>
  <c r="N110" i="18" s="1"/>
  <c r="R110" i="18" s="1"/>
  <c r="M105" i="18"/>
  <c r="N105" i="18" s="1"/>
  <c r="R105" i="18" s="1"/>
  <c r="M201" i="18"/>
  <c r="N201" i="18" s="1"/>
  <c r="R201" i="18" s="1"/>
  <c r="M95" i="18"/>
  <c r="N95" i="18" s="1"/>
  <c r="R95" i="18" s="1"/>
  <c r="M21" i="18"/>
  <c r="N21" i="18" s="1"/>
  <c r="R21" i="18" s="1"/>
  <c r="M112" i="18"/>
  <c r="N112" i="18" s="1"/>
  <c r="R112" i="18" s="1"/>
  <c r="M189" i="18"/>
  <c r="N189" i="18" s="1"/>
  <c r="R189" i="18" s="1"/>
  <c r="M184" i="18"/>
  <c r="N184" i="18" s="1"/>
  <c r="R184" i="18" s="1"/>
  <c r="M86" i="18"/>
  <c r="N86" i="18" s="1"/>
  <c r="R86" i="18" s="1"/>
  <c r="M74" i="18"/>
  <c r="N74" i="18" s="1"/>
  <c r="R74" i="18" s="1"/>
  <c r="M75" i="18"/>
  <c r="N75" i="18" s="1"/>
  <c r="R75" i="18" s="1"/>
  <c r="M101" i="18"/>
  <c r="N101" i="18" s="1"/>
  <c r="R101" i="18" s="1"/>
  <c r="M103" i="18"/>
  <c r="N103" i="18" s="1"/>
  <c r="R103" i="18" s="1"/>
  <c r="M13" i="18" l="1"/>
  <c r="N56" i="18"/>
  <c r="M212" i="18"/>
  <c r="N20" i="18"/>
  <c r="R20" i="18" l="1"/>
  <c r="N14" i="18"/>
  <c r="R56" i="18"/>
  <c r="R13" i="18" s="1"/>
  <c r="N13" i="18"/>
  <c r="R212" i="18" l="1"/>
  <c r="R14" i="1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rlp</author>
  </authors>
  <commentList>
    <comment ref="J2" authorId="0" shapeId="0" xr:uid="{00000000-0006-0000-0300-000001000000}">
      <text>
        <r>
          <rPr>
            <b/>
            <sz val="8"/>
            <color indexed="81"/>
            <rFont val="Tahoma"/>
            <family val="2"/>
          </rPr>
          <t>rlp:</t>
        </r>
        <r>
          <rPr>
            <sz val="8"/>
            <color indexed="81"/>
            <rFont val="Tahoma"/>
            <family val="2"/>
          </rPr>
          <t xml:space="preserve">
Sched 9 True-Up ATRR and rate from current year's (t=0) update.
</t>
        </r>
      </text>
    </comment>
    <comment ref="K2" authorId="0" shapeId="0" xr:uid="{00000000-0006-0000-0300-000002000000}">
      <text>
        <r>
          <rPr>
            <b/>
            <sz val="8"/>
            <color indexed="81"/>
            <rFont val="Tahoma"/>
            <family val="2"/>
          </rPr>
          <t>rlp:</t>
        </r>
        <r>
          <rPr>
            <sz val="8"/>
            <color indexed="81"/>
            <rFont val="Tahoma"/>
            <family val="2"/>
          </rPr>
          <t xml:space="preserve">
Sched 9 ATRR and rate (projected) from prev year's template (t-1)</t>
        </r>
      </text>
    </comment>
    <comment ref="K3" authorId="0" shapeId="0" xr:uid="{00000000-0006-0000-0300-000003000000}">
      <text>
        <r>
          <rPr>
            <b/>
            <sz val="8"/>
            <color indexed="81"/>
            <rFont val="Tahoma"/>
            <family val="2"/>
          </rPr>
          <t>rlp:</t>
        </r>
        <r>
          <rPr>
            <sz val="8"/>
            <color indexed="81"/>
            <rFont val="Tahoma"/>
            <family val="2"/>
          </rPr>
          <t xml:space="preserve">
Sched 9 ATRR and rate (rpojected) from prev year's template (t-1)</t>
        </r>
      </text>
    </comment>
    <comment ref="K5" authorId="0" shapeId="0" xr:uid="{00000000-0006-0000-0300-000004000000}">
      <text>
        <r>
          <rPr>
            <b/>
            <sz val="8"/>
            <color indexed="81"/>
            <rFont val="Tahoma"/>
            <family val="2"/>
          </rPr>
          <t>rlp:</t>
        </r>
        <r>
          <rPr>
            <sz val="8"/>
            <color indexed="81"/>
            <rFont val="Tahoma"/>
            <family val="2"/>
          </rPr>
          <t xml:space="preserve">
Sched 9 ATRR and rate (projected) from prev year's template (t-1)</t>
        </r>
      </text>
    </comment>
    <comment ref="K6" authorId="0" shapeId="0" xr:uid="{00000000-0006-0000-0300-000005000000}">
      <text>
        <r>
          <rPr>
            <b/>
            <sz val="8"/>
            <color indexed="81"/>
            <rFont val="Tahoma"/>
            <family val="2"/>
          </rPr>
          <t>rlp:</t>
        </r>
        <r>
          <rPr>
            <sz val="8"/>
            <color indexed="81"/>
            <rFont val="Tahoma"/>
            <family val="2"/>
          </rPr>
          <t xml:space="preserve">
Sched 9 ATRR and rate (rpojected) from prev year's template (t-1)</t>
        </r>
      </text>
    </comment>
    <comment ref="J19" authorId="0" shapeId="0" xr:uid="{00000000-0006-0000-0300-000006000000}">
      <text>
        <r>
          <rPr>
            <b/>
            <sz val="8"/>
            <color indexed="81"/>
            <rFont val="Tahoma"/>
            <family val="2"/>
          </rPr>
          <t>rlp:</t>
        </r>
        <r>
          <rPr>
            <sz val="8"/>
            <color indexed="81"/>
            <rFont val="Tahoma"/>
            <family val="2"/>
          </rPr>
          <t xml:space="preserve">
Actual Charge based on after the fact "True-Up" rate for entire prior CY.</t>
        </r>
      </text>
    </comment>
    <comment ref="K19" authorId="0" shapeId="0" xr:uid="{00000000-0006-0000-0300-000007000000}">
      <text>
        <r>
          <rPr>
            <b/>
            <sz val="8"/>
            <color indexed="81"/>
            <rFont val="Tahoma"/>
            <family val="2"/>
          </rPr>
          <t>rlp:</t>
        </r>
        <r>
          <rPr>
            <sz val="8"/>
            <color indexed="81"/>
            <rFont val="Tahoma"/>
            <family val="2"/>
          </rPr>
          <t xml:space="preserve">
Amount charged during the Rate Year based on projected rates.</t>
        </r>
      </text>
    </comment>
  </commentList>
</comments>
</file>

<file path=xl/sharedStrings.xml><?xml version="1.0" encoding="utf-8"?>
<sst xmlns="http://schemas.openxmlformats.org/spreadsheetml/2006/main" count="422" uniqueCount="104">
  <si>
    <t>Customer</t>
  </si>
  <si>
    <t>MW</t>
  </si>
  <si>
    <t>Total True-up</t>
  </si>
  <si>
    <t>True-Up w/o Interest</t>
  </si>
  <si>
    <t>Billing
Date*</t>
  </si>
  <si>
    <t>Payment Received*</t>
  </si>
  <si>
    <t>Annual RR</t>
  </si>
  <si>
    <t>Interest</t>
  </si>
  <si>
    <t>OMPA</t>
  </si>
  <si>
    <t>WFEC</t>
  </si>
  <si>
    <t>Monthly Rate</t>
  </si>
  <si>
    <t>True-up Values:  Surcharge / (Refund)</t>
  </si>
  <si>
    <t>Sched.</t>
  </si>
  <si>
    <t>ETEC</t>
  </si>
  <si>
    <t>AECC</t>
  </si>
  <si>
    <t>Greenbelt</t>
  </si>
  <si>
    <t>Lighthouse</t>
  </si>
  <si>
    <t>Coffeyville, KS</t>
  </si>
  <si>
    <t>Grand Total</t>
  </si>
  <si>
    <t>OG&amp;E</t>
  </si>
  <si>
    <t>AEP Revenue Adjustment</t>
  </si>
  <si>
    <t>PSO</t>
  </si>
  <si>
    <t>SWEPCO</t>
  </si>
  <si>
    <r>
      <t xml:space="preserve">NOTE:  </t>
    </r>
    <r>
      <rPr>
        <sz val="10"/>
        <rFont val="Arial"/>
        <family val="2"/>
      </rPr>
      <t>This is a normal part of the Annual True-up</t>
    </r>
  </si>
  <si>
    <t>Data</t>
  </si>
  <si>
    <t>Sum of True-Up w/o Interest</t>
  </si>
  <si>
    <t>Sum of Interest</t>
  </si>
  <si>
    <t>Sum of Total True-up</t>
  </si>
  <si>
    <t>Total Sum of True-Up w/o Interest</t>
  </si>
  <si>
    <t>Total Sum of Interest</t>
  </si>
  <si>
    <t>Total Sum of Total True-up</t>
  </si>
  <si>
    <t>(A)</t>
  </si>
  <si>
    <t>(B)</t>
  </si>
  <si>
    <t>(C)</t>
  </si>
  <si>
    <t>(D) = (B) - (C)</t>
  </si>
  <si>
    <t>(E)</t>
  </si>
  <si>
    <t>Network Customer True-Up (Schedule 9 charges)</t>
  </si>
  <si>
    <t>Projected</t>
  </si>
  <si>
    <r>
      <t xml:space="preserve">Projected </t>
    </r>
    <r>
      <rPr>
        <sz val="10"/>
        <rFont val="Arial Narrow"/>
        <family val="2"/>
      </rPr>
      <t>(Invoiced)</t>
    </r>
  </si>
  <si>
    <t xml:space="preserve">  ARR</t>
  </si>
  <si>
    <t xml:space="preserve">  Monthly Rates</t>
  </si>
  <si>
    <r>
      <t>True-Up
(</t>
    </r>
    <r>
      <rPr>
        <sz val="10"/>
        <rFont val="Arial"/>
        <family val="2"/>
      </rPr>
      <t>w/o Interest)</t>
    </r>
  </si>
  <si>
    <r>
      <t>Actual</t>
    </r>
    <r>
      <rPr>
        <sz val="10"/>
        <rFont val="Arial Narrow"/>
        <family val="2"/>
      </rPr>
      <t xml:space="preserve"> (True-Up)</t>
    </r>
  </si>
  <si>
    <r>
      <t xml:space="preserve">Actual </t>
    </r>
    <r>
      <rPr>
        <sz val="10"/>
        <rFont val="Arial Narrow"/>
        <family val="2"/>
      </rPr>
      <t>(True-Up)</t>
    </r>
  </si>
  <si>
    <t xml:space="preserve">    Non-Affiliate
    Subtotals</t>
  </si>
  <si>
    <t>TOTALS</t>
  </si>
  <si>
    <t>Total
True-Up Surcharge / (Refund)</t>
  </si>
  <si>
    <t>Comment</t>
  </si>
  <si>
    <t>Actual True-Up Rate</t>
  </si>
  <si>
    <t>Invoiced*** Charge (proj.)</t>
  </si>
  <si>
    <r>
      <t>Projected Rate</t>
    </r>
    <r>
      <rPr>
        <sz val="8"/>
        <rFont val="Arial"/>
        <family val="2"/>
      </rPr>
      <t xml:space="preserve"> (as Invoiced)</t>
    </r>
  </si>
  <si>
    <t>Sum of Invoiced*** Charge (proj.)</t>
  </si>
  <si>
    <t xml:space="preserve">  Customer</t>
  </si>
  <si>
    <t xml:space="preserve">    Affiliate
    Subtotals</t>
  </si>
  <si>
    <t>Customer True-Up for Amounts Billed</t>
  </si>
  <si>
    <t>Serivce Month</t>
  </si>
  <si>
    <t>Bentonville, AR</t>
  </si>
  <si>
    <t>Prescott, AR</t>
  </si>
  <si>
    <t>Minden, LA</t>
  </si>
  <si>
    <t>Hope, AR</t>
  </si>
  <si>
    <t>3rd Party Totals</t>
  </si>
  <si>
    <t>SPP Zone1 Totals (incl. PSO/SWE)</t>
  </si>
  <si>
    <t>Surcharge / (Refund)</t>
  </si>
  <si>
    <t>Total Sum of Invoiced*** Charge (proj.)</t>
  </si>
  <si>
    <r>
      <t xml:space="preserve">*** </t>
    </r>
    <r>
      <rPr>
        <sz val="8"/>
        <rFont val="Arial"/>
        <family val="2"/>
      </rPr>
      <t>Invoiced Charge reflects any subsequent routine invoice corrections by SPP.</t>
    </r>
  </si>
  <si>
    <t>Instructions</t>
  </si>
  <si>
    <r>
      <t>Roll Date: input trueup year in cell=</t>
    </r>
    <r>
      <rPr>
        <b/>
        <i/>
        <sz val="10"/>
        <rFont val="Arial"/>
        <family val="2"/>
      </rPr>
      <t>Transactions!N1</t>
    </r>
  </si>
  <si>
    <t>Update Prime Rates data:  see Prime-Rates tab</t>
  </si>
  <si>
    <r>
      <t>Verify Refund Date:  verify and change (if needed) Refund Date celll=</t>
    </r>
    <r>
      <rPr>
        <b/>
        <i/>
        <sz val="10"/>
        <rFont val="Arial"/>
        <family val="2"/>
      </rPr>
      <t>Transactions!W8</t>
    </r>
  </si>
  <si>
    <t>Billing/Pmt Rec'd Dates:  Verify these dates (currently set to formulaicly update relative to trueup year)</t>
  </si>
  <si>
    <t>Update SPP Zone1 NITS Customer list &amp; formulas (if needed): look at LoadWS in main template &amp; also check w/Load Settlements.</t>
  </si>
  <si>
    <t>Update invoiced Load values per month per customer (from LoadWS in main template) (transpose)</t>
  </si>
  <si>
    <t>Sum of True-Up Charge</t>
  </si>
  <si>
    <t>Total Sum of True-Up Charge</t>
  </si>
  <si>
    <r>
      <t xml:space="preserve">Refresh Pivot Table in </t>
    </r>
    <r>
      <rPr>
        <b/>
        <sz val="10"/>
        <rFont val="Arial"/>
        <family val="2"/>
      </rPr>
      <t>tab=PIVOT</t>
    </r>
  </si>
  <si>
    <t>NOTE:  Be aware that title changes to a Transaction tab column summarized in the pivot table cause such column to be dropped form the pivot table when it is refreshed.</t>
  </si>
  <si>
    <t>NOTE:  In that instance, manually update the LAYOUT of the pivot table to re-summarize the column that encountered a title change.</t>
  </si>
  <si>
    <t>NOTE:  The SUMMARY table in that tab contains GETPIVOTDATA functions that should still work as they reference tltle cells in Transactions tab.</t>
  </si>
  <si>
    <t>Update Rate Summary tab. (very manual process).</t>
  </si>
  <si>
    <t xml:space="preserve">            as contemplated in the AEP Formula Rate Protocols.</t>
  </si>
  <si>
    <t>NOTE:  "Rate Summary" tab is usually "walked-through" during customer meeting but not printed.</t>
  </si>
  <si>
    <t>NOTE:  Print to PDF the "Summary" tab as a supplement for customer Mtg handout and published PDFs.</t>
  </si>
  <si>
    <r>
      <t>Input Sched 9 ATRRs &amp; rates from prior 2 update's (projected) and this year's update (trueup)=</t>
    </r>
    <r>
      <rPr>
        <b/>
        <i/>
        <sz val="10"/>
        <rFont val="Arial"/>
        <family val="2"/>
      </rPr>
      <t>Transactions!J2:K8</t>
    </r>
  </si>
  <si>
    <t>SWEPCO-Valley</t>
  </si>
  <si>
    <t>* SPP bills customer on third business day, AEP receives on 24th or next business day.</t>
  </si>
  <si>
    <t>AECI</t>
  </si>
  <si>
    <t>Tax Rebilling Rate</t>
  </si>
  <si>
    <t>Tax True Up Billing</t>
  </si>
  <si>
    <t>Tax True Up</t>
  </si>
  <si>
    <t>Sum of Tax True Up Billing</t>
  </si>
  <si>
    <t>Total Sum of Tax True Up Billing</t>
  </si>
  <si>
    <t>Sum of Tax True Up</t>
  </si>
  <si>
    <t>Total Sum of Tax True Up</t>
  </si>
  <si>
    <t>(G) = (D) + (E) - (F)</t>
  </si>
  <si>
    <t>(G)</t>
  </si>
  <si>
    <t>January - December</t>
  </si>
  <si>
    <t>AEP SOUTHWESTERN TRANSMISSION</t>
  </si>
  <si>
    <t xml:space="preserve">    &lt;&lt; SOUTHWESTERN TRANSMISSION COMPANY &gt;&gt;</t>
  </si>
  <si>
    <t>AEPTCo Formula Rate -- FERC Docket ER18-194</t>
  </si>
  <si>
    <t>(H)</t>
  </si>
  <si>
    <t xml:space="preserve"> (I) = (G) + (H)</t>
  </si>
  <si>
    <t>2017 ROE Refund</t>
  </si>
  <si>
    <t>Total NITS Surcharge / Refund</t>
  </si>
  <si>
    <t>2021 True Up Including Interest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</si>
</sst>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_(&quot;$&quot;* #,##0_);_(&quot;$&quot;* \(#,##0\);_(&quot;$&quot;* &quot;-&quot;??_);_(@_)"/>
    <numFmt numFmtId="166" formatCode="_(* #,##0_);_(* \(#,##0\);_(* &quot;-&quot;??_);_(@_)"/>
    <numFmt numFmtId="167" formatCode="&quot;$&quot;#,##0"/>
    <numFmt numFmtId="168" formatCode="0.0%"/>
  </numFmts>
  <fonts count="26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10"/>
      <color indexed="12"/>
      <name val="Arial"/>
      <family val="2"/>
    </font>
    <font>
      <sz val="8"/>
      <color indexed="12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0"/>
      <name val="Arial Narrow"/>
      <family val="2"/>
    </font>
    <font>
      <b/>
      <sz val="10"/>
      <name val="Arial Narrow"/>
      <family val="2"/>
    </font>
    <font>
      <b/>
      <sz val="14"/>
      <name val="Arial Narrow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8"/>
      <name val="Arial"/>
      <family val="2"/>
    </font>
    <font>
      <i/>
      <sz val="9"/>
      <color indexed="10"/>
      <name val="Arial"/>
      <family val="2"/>
    </font>
    <font>
      <b/>
      <sz val="10"/>
      <color indexed="12"/>
      <name val="Arial"/>
      <family val="2"/>
    </font>
    <font>
      <b/>
      <i/>
      <sz val="10"/>
      <name val="Arial"/>
      <family val="2"/>
    </font>
    <font>
      <sz val="10"/>
      <color rgb="FF0000FF"/>
      <name val="Arial"/>
      <family val="2"/>
    </font>
    <font>
      <sz val="8"/>
      <color rgb="FF0066FF"/>
      <name val="Arial"/>
      <family val="2"/>
    </font>
    <font>
      <sz val="10"/>
      <name val="Arial Narrow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CCFFCC"/>
        <bgColor indexed="64"/>
      </patternFill>
    </fill>
  </fills>
  <borders count="5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 style="thin">
        <color indexed="65"/>
      </left>
      <right style="thin">
        <color rgb="FF999999"/>
      </right>
      <top style="thin">
        <color rgb="FF999999"/>
      </top>
      <bottom/>
      <diagonal/>
    </border>
    <border>
      <left/>
      <right/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/>
      <top/>
      <bottom/>
      <diagonal/>
    </border>
    <border>
      <left style="thin">
        <color rgb="FF999999"/>
      </left>
      <right style="thin">
        <color rgb="FF999999"/>
      </right>
      <top/>
      <bottom/>
      <diagonal/>
    </border>
    <border>
      <left style="thin">
        <color rgb="FF999999"/>
      </left>
      <right/>
      <top style="thin">
        <color rgb="FF999999"/>
      </top>
      <bottom style="thin">
        <color rgb="FF999999"/>
      </bottom>
      <diagonal/>
    </border>
    <border>
      <left/>
      <right/>
      <top style="thin">
        <color rgb="FF999999"/>
      </top>
      <bottom style="thin">
        <color rgb="FF999999"/>
      </bottom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999999"/>
      </left>
      <right/>
      <top style="thin">
        <color indexed="65"/>
      </top>
      <bottom/>
      <diagonal/>
    </border>
    <border>
      <left style="thin">
        <color indexed="65"/>
      </left>
      <right/>
      <top style="thin">
        <color rgb="FF999999"/>
      </top>
      <bottom style="thin">
        <color rgb="FF999999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</cellStyleXfs>
  <cellXfs count="252">
    <xf numFmtId="0" fontId="0" fillId="0" borderId="0" xfId="0"/>
    <xf numFmtId="0" fontId="0" fillId="0" borderId="0" xfId="0" applyProtection="1"/>
    <xf numFmtId="0" fontId="0" fillId="0" borderId="0" xfId="0" applyFill="1" applyProtection="1"/>
    <xf numFmtId="0" fontId="0" fillId="0" borderId="0" xfId="0" quotePrefix="1" applyAlignment="1" applyProtection="1">
      <alignment horizontal="left"/>
    </xf>
    <xf numFmtId="0" fontId="2" fillId="0" borderId="0" xfId="0" quotePrefix="1" applyFont="1" applyAlignment="1" applyProtection="1">
      <alignment horizontal="left"/>
    </xf>
    <xf numFmtId="0" fontId="0" fillId="0" borderId="0" xfId="0" applyAlignment="1" applyProtection="1">
      <alignment horizontal="left"/>
    </xf>
    <xf numFmtId="0" fontId="23" fillId="6" borderId="0" xfId="0" applyFont="1" applyFill="1" applyProtection="1"/>
    <xf numFmtId="0" fontId="2" fillId="2" borderId="0" xfId="0" quotePrefix="1" applyFont="1" applyFill="1" applyAlignment="1" applyProtection="1">
      <alignment horizontal="left"/>
    </xf>
    <xf numFmtId="0" fontId="0" fillId="2" borderId="0" xfId="0" applyFill="1" applyProtection="1"/>
    <xf numFmtId="0" fontId="10" fillId="0" borderId="0" xfId="0" quotePrefix="1" applyFont="1" applyAlignment="1" applyProtection="1">
      <alignment horizontal="left"/>
    </xf>
    <xf numFmtId="0" fontId="3" fillId="0" borderId="0" xfId="0" quotePrefix="1" applyFont="1" applyAlignment="1" applyProtection="1">
      <alignment horizontal="left"/>
    </xf>
    <xf numFmtId="0" fontId="16" fillId="0" borderId="1" xfId="0" quotePrefix="1" applyFont="1" applyFill="1" applyBorder="1" applyAlignment="1" applyProtection="1">
      <alignment horizontal="center" vertical="center"/>
    </xf>
    <xf numFmtId="0" fontId="15" fillId="0" borderId="2" xfId="0" quotePrefix="1" applyFont="1" applyBorder="1" applyAlignment="1" applyProtection="1">
      <alignment horizontal="center"/>
    </xf>
    <xf numFmtId="0" fontId="3" fillId="0" borderId="3" xfId="0" applyFont="1" applyBorder="1" applyAlignment="1" applyProtection="1">
      <alignment horizontal="center"/>
    </xf>
    <xf numFmtId="0" fontId="15" fillId="0" borderId="4" xfId="0" quotePrefix="1" applyFont="1" applyBorder="1" applyAlignment="1" applyProtection="1">
      <alignment horizontal="right"/>
    </xf>
    <xf numFmtId="0" fontId="15" fillId="0" borderId="0" xfId="0" quotePrefix="1" applyFont="1" applyBorder="1" applyAlignment="1" applyProtection="1">
      <alignment horizontal="right"/>
    </xf>
    <xf numFmtId="164" fontId="4" fillId="0" borderId="0" xfId="0" applyNumberFormat="1" applyFont="1" applyFill="1" applyBorder="1" applyAlignment="1" applyProtection="1">
      <alignment horizontal="centerContinuous"/>
    </xf>
    <xf numFmtId="0" fontId="14" fillId="0" borderId="5" xfId="0" applyFont="1" applyBorder="1" applyAlignment="1" applyProtection="1">
      <alignment horizontal="center" vertical="center" wrapText="1"/>
    </xf>
    <xf numFmtId="0" fontId="14" fillId="0" borderId="0" xfId="0" quotePrefix="1" applyFont="1" applyAlignment="1" applyProtection="1">
      <alignment horizontal="center" vertical="center" wrapText="1"/>
    </xf>
    <xf numFmtId="0" fontId="14" fillId="0" borderId="6" xfId="0" quotePrefix="1" applyFont="1" applyBorder="1" applyAlignment="1" applyProtection="1">
      <alignment horizontal="center" vertical="center" wrapText="1"/>
    </xf>
    <xf numFmtId="0" fontId="14" fillId="0" borderId="0" xfId="0" quotePrefix="1" applyFont="1" applyBorder="1" applyAlignment="1" applyProtection="1">
      <alignment horizontal="center" vertical="center" wrapText="1"/>
    </xf>
    <xf numFmtId="0" fontId="10" fillId="0" borderId="0" xfId="0" applyFont="1" applyFill="1" applyBorder="1" applyAlignment="1" applyProtection="1">
      <alignment horizontal="left"/>
    </xf>
    <xf numFmtId="0" fontId="15" fillId="0" borderId="2" xfId="0" quotePrefix="1" applyFont="1" applyBorder="1" applyAlignment="1" applyProtection="1">
      <alignment horizontal="left" vertical="center"/>
    </xf>
    <xf numFmtId="0" fontId="15" fillId="0" borderId="3" xfId="0" quotePrefix="1" applyFont="1" applyBorder="1" applyAlignment="1" applyProtection="1">
      <alignment horizontal="left" vertical="center"/>
    </xf>
    <xf numFmtId="167" fontId="1" fillId="0" borderId="3" xfId="0" applyNumberFormat="1" applyFont="1" applyFill="1" applyBorder="1" applyAlignment="1" applyProtection="1">
      <alignment horizontal="center" vertical="center"/>
    </xf>
    <xf numFmtId="0" fontId="12" fillId="0" borderId="3" xfId="0" applyFont="1" applyFill="1" applyBorder="1" applyAlignment="1" applyProtection="1">
      <alignment horizontal="center" vertical="center"/>
    </xf>
    <xf numFmtId="167" fontId="13" fillId="0" borderId="4" xfId="0" applyNumberFormat="1" applyFont="1" applyFill="1" applyBorder="1" applyAlignment="1" applyProtection="1">
      <alignment horizontal="center" vertical="center"/>
    </xf>
    <xf numFmtId="167" fontId="13" fillId="0" borderId="0" xfId="0" applyNumberFormat="1" applyFont="1" applyFill="1" applyBorder="1" applyAlignment="1" applyProtection="1">
      <alignment horizontal="center" vertical="center"/>
    </xf>
    <xf numFmtId="0" fontId="15" fillId="0" borderId="7" xfId="0" applyFont="1" applyBorder="1" applyAlignment="1" applyProtection="1">
      <alignment vertical="center"/>
    </xf>
    <xf numFmtId="0" fontId="15" fillId="0" borderId="8" xfId="0" quotePrefix="1" applyFont="1" applyBorder="1" applyAlignment="1" applyProtection="1">
      <alignment horizontal="left" vertical="center"/>
    </xf>
    <xf numFmtId="0" fontId="12" fillId="0" borderId="8" xfId="0" quotePrefix="1" applyFont="1" applyFill="1" applyBorder="1" applyAlignment="1" applyProtection="1">
      <alignment horizontal="center" vertical="center"/>
    </xf>
    <xf numFmtId="167" fontId="13" fillId="0" borderId="8" xfId="0" quotePrefix="1" applyNumberFormat="1" applyFont="1" applyFill="1" applyBorder="1" applyAlignment="1" applyProtection="1">
      <alignment horizontal="center" vertical="center"/>
    </xf>
    <xf numFmtId="0" fontId="13" fillId="0" borderId="9" xfId="0" applyFont="1" applyFill="1" applyBorder="1" applyAlignment="1" applyProtection="1">
      <alignment horizontal="center" vertical="center"/>
    </xf>
    <xf numFmtId="0" fontId="13" fillId="0" borderId="0" xfId="0" applyFont="1" applyFill="1" applyBorder="1" applyAlignment="1" applyProtection="1">
      <alignment horizontal="center" vertical="center"/>
    </xf>
    <xf numFmtId="167" fontId="0" fillId="0" borderId="0" xfId="0" applyNumberFormat="1" applyProtection="1"/>
    <xf numFmtId="0" fontId="10" fillId="0" borderId="0" xfId="0" applyFont="1" applyFill="1" applyBorder="1" applyAlignment="1" applyProtection="1">
      <alignment horizontal="center"/>
    </xf>
    <xf numFmtId="0" fontId="15" fillId="0" borderId="10" xfId="0" quotePrefix="1" applyFont="1" applyBorder="1" applyAlignment="1" applyProtection="1">
      <alignment horizontal="left" vertical="center"/>
    </xf>
    <xf numFmtId="0" fontId="15" fillId="0" borderId="0" xfId="0" quotePrefix="1" applyFont="1" applyBorder="1" applyAlignment="1" applyProtection="1">
      <alignment horizontal="left" vertical="center"/>
    </xf>
    <xf numFmtId="164" fontId="13" fillId="0" borderId="0" xfId="0" quotePrefix="1" applyNumberFormat="1" applyFont="1" applyFill="1" applyBorder="1" applyAlignment="1" applyProtection="1">
      <alignment horizontal="center" vertical="center" wrapText="1"/>
    </xf>
    <xf numFmtId="164" fontId="13" fillId="0" borderId="11" xfId="0" quotePrefix="1" applyNumberFormat="1" applyFont="1" applyFill="1" applyBorder="1" applyAlignment="1" applyProtection="1">
      <alignment horizontal="center" vertical="center"/>
    </xf>
    <xf numFmtId="164" fontId="13" fillId="0" borderId="0" xfId="0" quotePrefix="1" applyNumberFormat="1" applyFont="1" applyFill="1" applyBorder="1" applyAlignment="1" applyProtection="1">
      <alignment horizontal="center" vertical="center"/>
    </xf>
    <xf numFmtId="164" fontId="0" fillId="0" borderId="0" xfId="0" applyNumberFormat="1" applyProtection="1"/>
    <xf numFmtId="0" fontId="15" fillId="0" borderId="5" xfId="0" applyFont="1" applyBorder="1" applyAlignment="1" applyProtection="1">
      <alignment vertical="center"/>
    </xf>
    <xf numFmtId="0" fontId="15" fillId="0" borderId="1" xfId="0" quotePrefix="1" applyFont="1" applyBorder="1" applyAlignment="1" applyProtection="1">
      <alignment horizontal="left" vertical="center"/>
    </xf>
    <xf numFmtId="0" fontId="12" fillId="0" borderId="1" xfId="0" applyFont="1" applyFill="1" applyBorder="1" applyAlignment="1" applyProtection="1">
      <alignment horizontal="center" vertical="center"/>
    </xf>
    <xf numFmtId="164" fontId="1" fillId="0" borderId="1" xfId="0" quotePrefix="1" applyNumberFormat="1" applyFont="1" applyFill="1" applyBorder="1" applyAlignment="1" applyProtection="1">
      <alignment horizontal="center" vertical="center"/>
    </xf>
    <xf numFmtId="0" fontId="13" fillId="0" borderId="6" xfId="0" applyFont="1" applyFill="1" applyBorder="1" applyAlignment="1" applyProtection="1">
      <alignment horizontal="center" vertical="center"/>
    </xf>
    <xf numFmtId="0" fontId="0" fillId="0" borderId="0" xfId="0" applyFill="1" applyBorder="1" applyProtection="1"/>
    <xf numFmtId="0" fontId="14" fillId="0" borderId="0" xfId="0" quotePrefix="1" applyFont="1" applyFill="1" applyBorder="1" applyAlignment="1" applyProtection="1">
      <alignment horizontal="left"/>
    </xf>
    <xf numFmtId="0" fontId="10" fillId="0" borderId="0" xfId="0" applyFont="1" applyFill="1" applyBorder="1" applyProtection="1"/>
    <xf numFmtId="0" fontId="10" fillId="0" borderId="0" xfId="0" quotePrefix="1" applyFont="1" applyFill="1" applyBorder="1" applyAlignment="1" applyProtection="1">
      <alignment horizontal="center"/>
    </xf>
    <xf numFmtId="164" fontId="0" fillId="0" borderId="0" xfId="0" applyNumberFormat="1" applyBorder="1" applyAlignment="1" applyProtection="1">
      <alignment horizontal="center"/>
    </xf>
    <xf numFmtId="0" fontId="0" fillId="0" borderId="0" xfId="0" applyBorder="1" applyProtection="1"/>
    <xf numFmtId="165" fontId="0" fillId="0" borderId="0" xfId="2" applyNumberFormat="1" applyFont="1" applyBorder="1" applyProtection="1"/>
    <xf numFmtId="0" fontId="0" fillId="0" borderId="0" xfId="0" quotePrefix="1" applyBorder="1" applyAlignment="1" applyProtection="1">
      <alignment horizontal="left"/>
    </xf>
    <xf numFmtId="0" fontId="0" fillId="0" borderId="0" xfId="0" applyBorder="1" applyAlignment="1" applyProtection="1">
      <alignment horizontal="center" vertical="center"/>
    </xf>
    <xf numFmtId="0" fontId="0" fillId="0" borderId="0" xfId="0" quotePrefix="1" applyBorder="1" applyAlignment="1" applyProtection="1">
      <alignment horizontal="center" vertical="center"/>
    </xf>
    <xf numFmtId="0" fontId="3" fillId="0" borderId="12" xfId="0" quotePrefix="1" applyFont="1" applyBorder="1" applyAlignment="1" applyProtection="1">
      <alignment horizontal="left" vertical="center" wrapText="1"/>
    </xf>
    <xf numFmtId="0" fontId="3" fillId="0" borderId="13" xfId="0" quotePrefix="1" applyFont="1" applyBorder="1" applyAlignment="1" applyProtection="1">
      <alignment horizontal="center" vertical="center" wrapText="1"/>
    </xf>
    <xf numFmtId="0" fontId="3" fillId="0" borderId="14" xfId="0" quotePrefix="1" applyFont="1" applyBorder="1" applyAlignment="1" applyProtection="1">
      <alignment horizontal="center" vertical="center" wrapText="1"/>
    </xf>
    <xf numFmtId="0" fontId="3" fillId="0" borderId="14" xfId="0" applyFont="1" applyBorder="1" applyAlignment="1" applyProtection="1">
      <alignment horizontal="center" vertical="center" wrapText="1"/>
    </xf>
    <xf numFmtId="0" fontId="3" fillId="0" borderId="15" xfId="0" quotePrefix="1" applyFont="1" applyBorder="1" applyAlignment="1" applyProtection="1">
      <alignment horizontal="center" vertical="center" wrapText="1"/>
    </xf>
    <xf numFmtId="165" fontId="0" fillId="0" borderId="0" xfId="0" applyNumberFormat="1" applyProtection="1"/>
    <xf numFmtId="0" fontId="0" fillId="0" borderId="10" xfId="0" applyBorder="1" applyProtection="1"/>
    <xf numFmtId="165" fontId="0" fillId="0" borderId="16" xfId="2" applyNumberFormat="1" applyFont="1" applyBorder="1" applyProtection="1"/>
    <xf numFmtId="165" fontId="0" fillId="0" borderId="17" xfId="2" applyNumberFormat="1" applyFont="1" applyBorder="1" applyProtection="1"/>
    <xf numFmtId="0" fontId="0" fillId="0" borderId="10" xfId="0" quotePrefix="1" applyBorder="1" applyAlignment="1" applyProtection="1">
      <alignment horizontal="left"/>
    </xf>
    <xf numFmtId="43" fontId="0" fillId="0" borderId="0" xfId="0" applyNumberFormat="1" applyBorder="1" applyProtection="1"/>
    <xf numFmtId="0" fontId="0" fillId="0" borderId="18" xfId="0" applyBorder="1" applyProtection="1"/>
    <xf numFmtId="0" fontId="9" fillId="3" borderId="19" xfId="0" quotePrefix="1" applyFont="1" applyFill="1" applyBorder="1" applyAlignment="1" applyProtection="1">
      <alignment horizontal="left" vertical="center" wrapText="1"/>
    </xf>
    <xf numFmtId="165" fontId="0" fillId="3" borderId="20" xfId="2" applyNumberFormat="1" applyFont="1" applyFill="1" applyBorder="1" applyAlignment="1" applyProtection="1">
      <alignment vertical="center"/>
    </xf>
    <xf numFmtId="165" fontId="0" fillId="3" borderId="21" xfId="2" applyNumberFormat="1" applyFont="1" applyFill="1" applyBorder="1" applyAlignment="1" applyProtection="1">
      <alignment vertical="center"/>
    </xf>
    <xf numFmtId="165" fontId="3" fillId="3" borderId="22" xfId="2" applyNumberFormat="1" applyFont="1" applyFill="1" applyBorder="1" applyAlignment="1" applyProtection="1">
      <alignment vertical="center"/>
    </xf>
    <xf numFmtId="0" fontId="0" fillId="0" borderId="23" xfId="0" quotePrefix="1" applyBorder="1" applyAlignment="1" applyProtection="1">
      <alignment horizontal="left"/>
    </xf>
    <xf numFmtId="0" fontId="0" fillId="0" borderId="24" xfId="0" applyBorder="1" applyProtection="1"/>
    <xf numFmtId="0" fontId="0" fillId="0" borderId="25" xfId="0" applyBorder="1" applyProtection="1"/>
    <xf numFmtId="0" fontId="9" fillId="0" borderId="19" xfId="0" quotePrefix="1" applyFont="1" applyFill="1" applyBorder="1" applyAlignment="1" applyProtection="1">
      <alignment horizontal="left" vertical="center" wrapText="1"/>
    </xf>
    <xf numFmtId="165" fontId="0" fillId="0" borderId="20" xfId="2" applyNumberFormat="1" applyFont="1" applyFill="1" applyBorder="1" applyAlignment="1" applyProtection="1">
      <alignment vertical="center"/>
    </xf>
    <xf numFmtId="165" fontId="0" fillId="0" borderId="21" xfId="2" applyNumberFormat="1" applyFont="1" applyFill="1" applyBorder="1" applyAlignment="1" applyProtection="1">
      <alignment vertical="center"/>
    </xf>
    <xf numFmtId="165" fontId="3" fillId="0" borderId="22" xfId="2" applyNumberFormat="1" applyFont="1" applyFill="1" applyBorder="1" applyAlignment="1" applyProtection="1">
      <alignment vertical="center"/>
    </xf>
    <xf numFmtId="0" fontId="9" fillId="0" borderId="5" xfId="0" quotePrefix="1" applyFont="1" applyBorder="1" applyAlignment="1" applyProtection="1">
      <alignment horizontal="center" vertical="center" wrapText="1"/>
    </xf>
    <xf numFmtId="165" fontId="0" fillId="0" borderId="26" xfId="2" applyNumberFormat="1" applyFont="1" applyBorder="1" applyAlignment="1" applyProtection="1">
      <alignment vertical="center"/>
    </xf>
    <xf numFmtId="165" fontId="0" fillId="0" borderId="27" xfId="2" applyNumberFormat="1" applyFont="1" applyBorder="1" applyAlignment="1" applyProtection="1">
      <alignment vertical="center"/>
    </xf>
    <xf numFmtId="165" fontId="0" fillId="0" borderId="28" xfId="2" applyNumberFormat="1" applyFont="1" applyBorder="1" applyAlignment="1" applyProtection="1">
      <alignment vertical="center"/>
    </xf>
    <xf numFmtId="0" fontId="0" fillId="0" borderId="35" xfId="0" applyBorder="1" applyProtection="1"/>
    <xf numFmtId="0" fontId="0" fillId="0" borderId="36" xfId="0" applyBorder="1" applyProtection="1"/>
    <xf numFmtId="0" fontId="0" fillId="0" borderId="35" xfId="0" pivotButton="1" applyBorder="1" applyProtection="1"/>
    <xf numFmtId="0" fontId="0" fillId="0" borderId="37" xfId="0" applyBorder="1" applyProtection="1"/>
    <xf numFmtId="17" fontId="0" fillId="0" borderId="35" xfId="0" applyNumberFormat="1" applyBorder="1" applyProtection="1"/>
    <xf numFmtId="17" fontId="0" fillId="0" borderId="38" xfId="0" applyNumberFormat="1" applyBorder="1" applyProtection="1"/>
    <xf numFmtId="17" fontId="0" fillId="0" borderId="39" xfId="0" applyNumberFormat="1" applyBorder="1" applyProtection="1"/>
    <xf numFmtId="166" fontId="0" fillId="0" borderId="35" xfId="0" applyNumberFormat="1" applyBorder="1" applyProtection="1"/>
    <xf numFmtId="166" fontId="0" fillId="0" borderId="38" xfId="0" applyNumberFormat="1" applyBorder="1" applyProtection="1"/>
    <xf numFmtId="166" fontId="0" fillId="0" borderId="39" xfId="0" applyNumberFormat="1" applyBorder="1" applyProtection="1"/>
    <xf numFmtId="0" fontId="0" fillId="0" borderId="40" xfId="0" applyBorder="1" applyProtection="1"/>
    <xf numFmtId="166" fontId="0" fillId="0" borderId="40" xfId="0" applyNumberFormat="1" applyBorder="1" applyProtection="1"/>
    <xf numFmtId="166" fontId="0" fillId="0" borderId="0" xfId="0" applyNumberFormat="1" applyProtection="1"/>
    <xf numFmtId="166" fontId="0" fillId="0" borderId="41" xfId="0" applyNumberFormat="1" applyBorder="1" applyProtection="1"/>
    <xf numFmtId="0" fontId="0" fillId="0" borderId="42" xfId="0" applyBorder="1" applyProtection="1"/>
    <xf numFmtId="166" fontId="0" fillId="0" borderId="42" xfId="0" applyNumberFormat="1" applyBorder="1" applyProtection="1"/>
    <xf numFmtId="166" fontId="0" fillId="0" borderId="43" xfId="0" applyNumberFormat="1" applyBorder="1" applyProtection="1"/>
    <xf numFmtId="166" fontId="0" fillId="0" borderId="44" xfId="0" applyNumberFormat="1" applyBorder="1" applyProtection="1"/>
    <xf numFmtId="0" fontId="3" fillId="0" borderId="0" xfId="0" applyFont="1" applyProtection="1"/>
    <xf numFmtId="0" fontId="3" fillId="0" borderId="0" xfId="0" applyFont="1" applyAlignment="1" applyProtection="1">
      <alignment horizontal="center"/>
    </xf>
    <xf numFmtId="164" fontId="4" fillId="0" borderId="2" xfId="0" applyNumberFormat="1" applyFont="1" applyBorder="1" applyAlignment="1" applyProtection="1">
      <alignment horizontal="center"/>
    </xf>
    <xf numFmtId="164" fontId="4" fillId="0" borderId="3" xfId="0" applyNumberFormat="1" applyFont="1" applyBorder="1" applyAlignment="1" applyProtection="1">
      <alignment horizontal="centerContinuous"/>
    </xf>
    <xf numFmtId="0" fontId="0" fillId="0" borderId="3" xfId="0" applyBorder="1" applyAlignment="1" applyProtection="1">
      <alignment horizontal="centerContinuous"/>
    </xf>
    <xf numFmtId="164" fontId="9" fillId="0" borderId="14" xfId="0" applyNumberFormat="1" applyFont="1" applyBorder="1" applyAlignment="1" applyProtection="1">
      <alignment horizontal="center" wrapText="1"/>
    </xf>
    <xf numFmtId="164" fontId="4" fillId="0" borderId="14" xfId="0" applyNumberFormat="1" applyFont="1" applyBorder="1" applyAlignment="1" applyProtection="1">
      <alignment horizontal="center" wrapText="1"/>
    </xf>
    <xf numFmtId="0" fontId="0" fillId="0" borderId="29" xfId="0" applyBorder="1" applyProtection="1"/>
    <xf numFmtId="0" fontId="21" fillId="6" borderId="0" xfId="0" applyFont="1" applyFill="1" applyProtection="1"/>
    <xf numFmtId="0" fontId="0" fillId="0" borderId="10" xfId="0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164" fontId="6" fillId="0" borderId="0" xfId="0" applyNumberFormat="1" applyFont="1" applyBorder="1" applyAlignment="1" applyProtection="1">
      <alignment horizontal="center"/>
    </xf>
    <xf numFmtId="167" fontId="7" fillId="6" borderId="0" xfId="0" applyNumberFormat="1" applyFont="1" applyFill="1" applyBorder="1" applyAlignment="1" applyProtection="1">
      <alignment horizontal="right"/>
    </xf>
    <xf numFmtId="10" fontId="24" fillId="0" borderId="0" xfId="4" quotePrefix="1" applyNumberFormat="1" applyFont="1" applyBorder="1" applyAlignment="1" applyProtection="1">
      <alignment horizontal="left"/>
    </xf>
    <xf numFmtId="0" fontId="0" fillId="0" borderId="11" xfId="0" applyBorder="1" applyProtection="1"/>
    <xf numFmtId="164" fontId="7" fillId="6" borderId="0" xfId="0" applyNumberFormat="1" applyFont="1" applyFill="1" applyBorder="1" applyAlignment="1" applyProtection="1">
      <alignment horizontal="right"/>
    </xf>
    <xf numFmtId="0" fontId="0" fillId="0" borderId="0" xfId="0" quotePrefix="1" applyBorder="1" applyAlignment="1" applyProtection="1">
      <alignment horizontal="center"/>
    </xf>
    <xf numFmtId="0" fontId="0" fillId="0" borderId="0" xfId="0" applyBorder="1" applyAlignment="1" applyProtection="1">
      <alignment horizontal="right"/>
    </xf>
    <xf numFmtId="0" fontId="0" fillId="0" borderId="11" xfId="0" applyBorder="1" applyAlignment="1" applyProtection="1">
      <alignment horizontal="center"/>
    </xf>
    <xf numFmtId="168" fontId="0" fillId="0" borderId="11" xfId="4" applyNumberFormat="1" applyFont="1" applyBorder="1" applyAlignment="1" applyProtection="1">
      <alignment horizontal="center"/>
    </xf>
    <xf numFmtId="168" fontId="0" fillId="0" borderId="0" xfId="4" applyNumberFormat="1" applyFont="1" applyBorder="1" applyAlignment="1" applyProtection="1">
      <alignment horizontal="center"/>
    </xf>
    <xf numFmtId="0" fontId="0" fillId="0" borderId="30" xfId="0" applyBorder="1" applyProtection="1"/>
    <xf numFmtId="164" fontId="4" fillId="0" borderId="10" xfId="0" applyNumberFormat="1" applyFont="1" applyBorder="1" applyAlignment="1" applyProtection="1">
      <alignment horizontal="center"/>
    </xf>
    <xf numFmtId="164" fontId="4" fillId="0" borderId="0" xfId="0" applyNumberFormat="1" applyFont="1" applyBorder="1" applyAlignment="1" applyProtection="1">
      <alignment horizontal="centerContinuous"/>
    </xf>
    <xf numFmtId="0" fontId="0" fillId="0" borderId="0" xfId="0" applyBorder="1" applyAlignment="1" applyProtection="1">
      <alignment horizontal="centerContinuous"/>
    </xf>
    <xf numFmtId="164" fontId="19" fillId="0" borderId="0" xfId="0" applyNumberFormat="1" applyFont="1" applyBorder="1" applyAlignment="1" applyProtection="1">
      <alignment horizontal="center" wrapText="1"/>
    </xf>
    <xf numFmtId="164" fontId="4" fillId="0" borderId="0" xfId="0" quotePrefix="1" applyNumberFormat="1" applyFont="1" applyBorder="1" applyAlignment="1" applyProtection="1">
      <alignment horizontal="center" wrapText="1"/>
    </xf>
    <xf numFmtId="167" fontId="1" fillId="0" borderId="0" xfId="0" applyNumberFormat="1" applyFont="1" applyFill="1" applyBorder="1" applyAlignment="1" applyProtection="1">
      <alignment horizontal="right"/>
    </xf>
    <xf numFmtId="168" fontId="0" fillId="0" borderId="11" xfId="0" applyNumberFormat="1" applyBorder="1" applyProtection="1"/>
    <xf numFmtId="168" fontId="0" fillId="0" borderId="0" xfId="0" applyNumberFormat="1" applyBorder="1" applyProtection="1"/>
    <xf numFmtId="164" fontId="1" fillId="0" borderId="0" xfId="0" applyNumberFormat="1" applyFont="1" applyFill="1" applyBorder="1" applyAlignment="1" applyProtection="1">
      <alignment horizontal="right"/>
    </xf>
    <xf numFmtId="0" fontId="1" fillId="0" borderId="0" xfId="0" quotePrefix="1" applyFont="1" applyBorder="1" applyAlignment="1" applyProtection="1">
      <alignment horizontal="center"/>
    </xf>
    <xf numFmtId="0" fontId="3" fillId="0" borderId="0" xfId="0" applyFont="1" applyAlignment="1" applyProtection="1">
      <alignment horizontal="left"/>
    </xf>
    <xf numFmtId="164" fontId="20" fillId="0" borderId="0" xfId="0" quotePrefix="1" applyNumberFormat="1" applyFont="1" applyFill="1" applyBorder="1" applyAlignment="1" applyProtection="1">
      <alignment horizontal="left"/>
    </xf>
    <xf numFmtId="0" fontId="0" fillId="0" borderId="0" xfId="0" applyFill="1" applyBorder="1" applyAlignment="1" applyProtection="1">
      <alignment horizontal="center"/>
    </xf>
    <xf numFmtId="0" fontId="0" fillId="0" borderId="0" xfId="0" applyFill="1" applyBorder="1" applyAlignment="1" applyProtection="1">
      <alignment horizontal="right"/>
    </xf>
    <xf numFmtId="0" fontId="0" fillId="0" borderId="0" xfId="0" quotePrefix="1" applyFill="1" applyBorder="1" applyAlignment="1" applyProtection="1">
      <alignment horizontal="center"/>
    </xf>
    <xf numFmtId="164" fontId="6" fillId="0" borderId="0" xfId="0" applyNumberFormat="1" applyFont="1" applyAlignment="1" applyProtection="1">
      <alignment horizontal="left"/>
    </xf>
    <xf numFmtId="0" fontId="0" fillId="0" borderId="5" xfId="0" applyBorder="1" applyAlignment="1" applyProtection="1">
      <alignment horizontal="center"/>
    </xf>
    <xf numFmtId="0" fontId="0" fillId="0" borderId="1" xfId="0" applyBorder="1" applyAlignment="1" applyProtection="1">
      <alignment horizontal="left"/>
    </xf>
    <xf numFmtId="0" fontId="0" fillId="0" borderId="1" xfId="0" applyBorder="1" applyAlignment="1" applyProtection="1">
      <alignment horizontal="center"/>
    </xf>
    <xf numFmtId="164" fontId="20" fillId="0" borderId="1" xfId="0" quotePrefix="1" applyNumberFormat="1" applyFont="1" applyFill="1" applyBorder="1" applyAlignment="1" applyProtection="1">
      <alignment horizontal="left"/>
    </xf>
    <xf numFmtId="164" fontId="1" fillId="0" borderId="1" xfId="0" applyNumberFormat="1" applyFont="1" applyFill="1" applyBorder="1" applyAlignment="1" applyProtection="1">
      <alignment horizontal="right"/>
    </xf>
    <xf numFmtId="10" fontId="1" fillId="0" borderId="1" xfId="4" quotePrefix="1" applyNumberFormat="1" applyFont="1" applyFill="1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0" fillId="0" borderId="30" xfId="0" applyBorder="1" applyAlignment="1" applyProtection="1">
      <alignment horizontal="center"/>
    </xf>
    <xf numFmtId="0" fontId="11" fillId="0" borderId="0" xfId="0" quotePrefix="1" applyFont="1" applyAlignment="1" applyProtection="1">
      <alignment horizontal="left"/>
    </xf>
    <xf numFmtId="0" fontId="0" fillId="0" borderId="0" xfId="0" applyAlignment="1" applyProtection="1">
      <alignment horizontal="center"/>
    </xf>
    <xf numFmtId="164" fontId="0" fillId="0" borderId="0" xfId="0" applyNumberFormat="1" applyAlignment="1" applyProtection="1">
      <alignment horizontal="center"/>
    </xf>
    <xf numFmtId="0" fontId="0" fillId="0" borderId="0" xfId="0" applyAlignment="1" applyProtection="1">
      <alignment horizontal="right"/>
    </xf>
    <xf numFmtId="10" fontId="0" fillId="0" borderId="0" xfId="4" applyNumberFormat="1" applyFont="1" applyAlignment="1" applyProtection="1">
      <alignment horizontal="center"/>
    </xf>
    <xf numFmtId="0" fontId="0" fillId="0" borderId="30" xfId="0" quotePrefix="1" applyBorder="1" applyAlignment="1" applyProtection="1">
      <alignment horizontal="right"/>
    </xf>
    <xf numFmtId="0" fontId="0" fillId="0" borderId="21" xfId="0" applyBorder="1" applyAlignment="1" applyProtection="1">
      <alignment horizontal="center"/>
    </xf>
    <xf numFmtId="0" fontId="1" fillId="0" borderId="21" xfId="0" applyFont="1" applyFill="1" applyBorder="1" applyAlignment="1" applyProtection="1">
      <alignment horizontal="center"/>
    </xf>
    <xf numFmtId="164" fontId="3" fillId="0" borderId="31" xfId="0" applyNumberFormat="1" applyFont="1" applyBorder="1" applyAlignment="1" applyProtection="1">
      <alignment horizontal="right"/>
    </xf>
    <xf numFmtId="167" fontId="0" fillId="0" borderId="21" xfId="0" applyNumberFormat="1" applyBorder="1" applyAlignment="1" applyProtection="1">
      <alignment horizontal="center"/>
    </xf>
    <xf numFmtId="167" fontId="0" fillId="4" borderId="31" xfId="0" applyNumberFormat="1" applyFill="1" applyBorder="1" applyAlignment="1" applyProtection="1">
      <alignment horizontal="center"/>
    </xf>
    <xf numFmtId="167" fontId="0" fillId="0" borderId="32" xfId="0" applyNumberFormat="1" applyBorder="1" applyAlignment="1" applyProtection="1">
      <alignment horizontal="center"/>
    </xf>
    <xf numFmtId="0" fontId="0" fillId="0" borderId="8" xfId="0" applyBorder="1" applyAlignment="1" applyProtection="1">
      <alignment horizontal="center"/>
    </xf>
    <xf numFmtId="164" fontId="3" fillId="0" borderId="25" xfId="0" applyNumberFormat="1" applyFont="1" applyBorder="1" applyAlignment="1" applyProtection="1">
      <alignment horizontal="right"/>
    </xf>
    <xf numFmtId="14" fontId="1" fillId="0" borderId="16" xfId="0" quotePrefix="1" applyNumberFormat="1" applyFont="1" applyFill="1" applyBorder="1" applyAlignment="1" applyProtection="1">
      <alignment horizontal="left"/>
    </xf>
    <xf numFmtId="164" fontId="5" fillId="0" borderId="0" xfId="0" applyNumberFormat="1" applyFont="1" applyBorder="1" applyAlignment="1" applyProtection="1">
      <alignment horizontal="center"/>
    </xf>
    <xf numFmtId="164" fontId="5" fillId="0" borderId="30" xfId="0" applyNumberFormat="1" applyFont="1" applyBorder="1" applyAlignment="1" applyProtection="1">
      <alignment horizontal="right"/>
    </xf>
    <xf numFmtId="0" fontId="1" fillId="0" borderId="0" xfId="0" quotePrefix="1" applyFont="1" applyAlignment="1" applyProtection="1">
      <alignment horizontal="left"/>
    </xf>
    <xf numFmtId="166" fontId="1" fillId="0" borderId="0" xfId="1" applyNumberFormat="1" applyFont="1" applyFill="1" applyAlignment="1" applyProtection="1">
      <alignment horizontal="right"/>
    </xf>
    <xf numFmtId="166" fontId="1" fillId="0" borderId="0" xfId="1" quotePrefix="1" applyNumberFormat="1" applyFont="1" applyFill="1" applyAlignment="1" applyProtection="1">
      <alignment horizontal="left"/>
    </xf>
    <xf numFmtId="164" fontId="5" fillId="0" borderId="30" xfId="0" applyNumberFormat="1" applyFont="1" applyBorder="1" applyAlignment="1" applyProtection="1">
      <alignment horizontal="center"/>
    </xf>
    <xf numFmtId="14" fontId="0" fillId="0" borderId="16" xfId="0" quotePrefix="1" applyNumberFormat="1" applyFill="1" applyBorder="1" applyAlignment="1" applyProtection="1">
      <alignment horizontal="left"/>
    </xf>
    <xf numFmtId="44" fontId="5" fillId="0" borderId="0" xfId="2" applyNumberFormat="1" applyFont="1" applyAlignment="1" applyProtection="1">
      <alignment horizontal="center"/>
    </xf>
    <xf numFmtId="9" fontId="1" fillId="0" borderId="0" xfId="4" applyFont="1" applyAlignment="1" applyProtection="1">
      <alignment horizontal="center"/>
    </xf>
    <xf numFmtId="44" fontId="5" fillId="0" borderId="0" xfId="2" applyFont="1" applyAlignment="1" applyProtection="1">
      <alignment horizontal="center"/>
    </xf>
    <xf numFmtId="44" fontId="5" fillId="0" borderId="30" xfId="2" applyFont="1" applyBorder="1" applyAlignment="1" applyProtection="1">
      <alignment horizontal="center"/>
    </xf>
    <xf numFmtId="165" fontId="1" fillId="0" borderId="0" xfId="2" applyNumberFormat="1" applyFont="1" applyAlignment="1" applyProtection="1">
      <alignment horizontal="center"/>
    </xf>
    <xf numFmtId="0" fontId="4" fillId="0" borderId="0" xfId="0" quotePrefix="1" applyFont="1" applyBorder="1" applyAlignment="1" applyProtection="1">
      <alignment horizontal="center"/>
    </xf>
    <xf numFmtId="0" fontId="4" fillId="0" borderId="33" xfId="0" quotePrefix="1" applyFont="1" applyBorder="1" applyAlignment="1" applyProtection="1">
      <alignment horizontal="center"/>
    </xf>
    <xf numFmtId="164" fontId="4" fillId="0" borderId="20" xfId="0" quotePrefix="1" applyNumberFormat="1" applyFont="1" applyBorder="1" applyAlignment="1" applyProtection="1">
      <alignment horizontal="center" vertical="center" wrapText="1"/>
    </xf>
    <xf numFmtId="0" fontId="4" fillId="0" borderId="21" xfId="0" quotePrefix="1" applyFont="1" applyBorder="1" applyAlignment="1" applyProtection="1">
      <alignment horizontal="center" vertical="center" wrapText="1"/>
    </xf>
    <xf numFmtId="164" fontId="4" fillId="5" borderId="21" xfId="0" quotePrefix="1" applyNumberFormat="1" applyFont="1" applyFill="1" applyBorder="1" applyAlignment="1" applyProtection="1">
      <alignment horizontal="center" vertical="center" wrapText="1"/>
    </xf>
    <xf numFmtId="164" fontId="4" fillId="0" borderId="21" xfId="0" applyNumberFormat="1" applyFont="1" applyBorder="1" applyAlignment="1" applyProtection="1">
      <alignment horizontal="center" vertical="center" wrapText="1"/>
    </xf>
    <xf numFmtId="164" fontId="4" fillId="0" borderId="32" xfId="0" applyNumberFormat="1" applyFont="1" applyBorder="1" applyAlignment="1" applyProtection="1">
      <alignment horizontal="center" vertical="center" wrapText="1"/>
    </xf>
    <xf numFmtId="164" fontId="4" fillId="0" borderId="33" xfId="0" applyNumberFormat="1" applyFont="1" applyBorder="1" applyAlignment="1" applyProtection="1">
      <alignment horizontal="center" vertical="center" wrapText="1"/>
    </xf>
    <xf numFmtId="164" fontId="4" fillId="0" borderId="25" xfId="0" applyNumberFormat="1" applyFont="1" applyBorder="1" applyAlignment="1" applyProtection="1">
      <alignment horizontal="center" vertical="center" wrapText="1"/>
    </xf>
    <xf numFmtId="17" fontId="0" fillId="0" borderId="0" xfId="0" applyNumberFormat="1" applyBorder="1" applyAlignment="1" applyProtection="1">
      <alignment horizontal="center"/>
    </xf>
    <xf numFmtId="14" fontId="7" fillId="6" borderId="0" xfId="3" applyNumberFormat="1" applyFont="1" applyFill="1" applyBorder="1" applyProtection="1"/>
    <xf numFmtId="14" fontId="7" fillId="2" borderId="0" xfId="0" applyNumberFormat="1" applyFont="1" applyFill="1" applyBorder="1" applyAlignment="1" applyProtection="1">
      <alignment horizontal="left"/>
    </xf>
    <xf numFmtId="1" fontId="8" fillId="6" borderId="0" xfId="0" applyNumberFormat="1" applyFont="1" applyFill="1" applyBorder="1" applyAlignment="1" applyProtection="1">
      <alignment horizontal="center"/>
    </xf>
    <xf numFmtId="164" fontId="6" fillId="0" borderId="0" xfId="0" applyNumberFormat="1" applyFont="1" applyBorder="1" applyProtection="1"/>
    <xf numFmtId="164" fontId="1" fillId="0" borderId="0" xfId="0" applyNumberFormat="1" applyFont="1" applyAlignment="1" applyProtection="1">
      <alignment horizontal="right"/>
    </xf>
    <xf numFmtId="164" fontId="0" fillId="0" borderId="0" xfId="0" applyNumberFormat="1" applyBorder="1" applyAlignment="1" applyProtection="1"/>
    <xf numFmtId="164" fontId="1" fillId="0" borderId="0" xfId="0" applyNumberFormat="1" applyFont="1" applyAlignment="1" applyProtection="1"/>
    <xf numFmtId="164" fontId="1" fillId="0" borderId="0" xfId="0" applyNumberFormat="1" applyFont="1" applyBorder="1" applyAlignment="1" applyProtection="1">
      <alignment horizontal="right"/>
    </xf>
    <xf numFmtId="164" fontId="0" fillId="0" borderId="24" xfId="0" applyNumberFormat="1" applyBorder="1" applyAlignment="1" applyProtection="1">
      <alignment horizontal="right"/>
    </xf>
    <xf numFmtId="14" fontId="0" fillId="0" borderId="0" xfId="0" quotePrefix="1" applyNumberFormat="1" applyBorder="1" applyAlignment="1" applyProtection="1">
      <alignment horizontal="left"/>
    </xf>
    <xf numFmtId="164" fontId="1" fillId="0" borderId="0" xfId="0" applyNumberFormat="1" applyFont="1" applyFill="1" applyBorder="1" applyAlignment="1" applyProtection="1"/>
    <xf numFmtId="164" fontId="0" fillId="0" borderId="0" xfId="0" applyNumberFormat="1" applyFill="1" applyBorder="1" applyAlignment="1" applyProtection="1"/>
    <xf numFmtId="14" fontId="7" fillId="2" borderId="8" xfId="3" applyNumberFormat="1" applyFont="1" applyFill="1" applyBorder="1" applyProtection="1"/>
    <xf numFmtId="14" fontId="7" fillId="6" borderId="8" xfId="3" applyNumberFormat="1" applyFont="1" applyFill="1" applyBorder="1" applyProtection="1"/>
    <xf numFmtId="164" fontId="6" fillId="0" borderId="8" xfId="0" applyNumberFormat="1" applyFont="1" applyBorder="1" applyProtection="1"/>
    <xf numFmtId="164" fontId="1" fillId="0" borderId="8" xfId="0" applyNumberFormat="1" applyFont="1" applyBorder="1" applyAlignment="1" applyProtection="1">
      <alignment horizontal="right"/>
    </xf>
    <xf numFmtId="164" fontId="0" fillId="0" borderId="8" xfId="0" applyNumberFormat="1" applyFill="1" applyBorder="1" applyAlignment="1" applyProtection="1"/>
    <xf numFmtId="164" fontId="1" fillId="0" borderId="8" xfId="0" applyNumberFormat="1" applyFont="1" applyFill="1" applyBorder="1" applyAlignment="1" applyProtection="1"/>
    <xf numFmtId="17" fontId="0" fillId="0" borderId="34" xfId="0" applyNumberFormat="1" applyBorder="1" applyAlignment="1" applyProtection="1">
      <alignment horizontal="center"/>
    </xf>
    <xf numFmtId="14" fontId="1" fillId="0" borderId="34" xfId="0" applyNumberFormat="1" applyFont="1" applyFill="1" applyBorder="1" applyProtection="1"/>
    <xf numFmtId="14" fontId="7" fillId="2" borderId="34" xfId="0" applyNumberFormat="1" applyFont="1" applyFill="1" applyBorder="1" applyAlignment="1" applyProtection="1">
      <alignment horizontal="left"/>
    </xf>
    <xf numFmtId="0" fontId="0" fillId="0" borderId="34" xfId="0" applyBorder="1" applyAlignment="1" applyProtection="1">
      <alignment horizontal="center"/>
    </xf>
    <xf numFmtId="14" fontId="1" fillId="0" borderId="0" xfId="0" applyNumberFormat="1" applyFont="1" applyFill="1" applyBorder="1" applyProtection="1"/>
    <xf numFmtId="0" fontId="0" fillId="0" borderId="34" xfId="0" applyBorder="1" applyProtection="1"/>
    <xf numFmtId="17" fontId="0" fillId="0" borderId="8" xfId="0" applyNumberFormat="1" applyBorder="1" applyAlignment="1" applyProtection="1">
      <alignment horizontal="center"/>
    </xf>
    <xf numFmtId="0" fontId="0" fillId="0" borderId="8" xfId="0" quotePrefix="1" applyBorder="1" applyAlignment="1" applyProtection="1">
      <alignment horizontal="left"/>
    </xf>
    <xf numFmtId="0" fontId="0" fillId="0" borderId="8" xfId="0" applyBorder="1" applyProtection="1"/>
    <xf numFmtId="14" fontId="1" fillId="0" borderId="8" xfId="0" applyNumberFormat="1" applyFont="1" applyFill="1" applyBorder="1" applyProtection="1"/>
    <xf numFmtId="14" fontId="0" fillId="0" borderId="8" xfId="0" quotePrefix="1" applyNumberFormat="1" applyBorder="1" applyAlignment="1" applyProtection="1">
      <alignment horizontal="left"/>
    </xf>
    <xf numFmtId="0" fontId="7" fillId="2" borderId="0" xfId="0" applyFont="1" applyFill="1" applyBorder="1" applyAlignment="1" applyProtection="1">
      <alignment horizontal="left"/>
    </xf>
    <xf numFmtId="0" fontId="1" fillId="0" borderId="0" xfId="0" applyFont="1" applyFill="1" applyBorder="1" applyAlignment="1" applyProtection="1">
      <alignment horizontal="left"/>
    </xf>
    <xf numFmtId="0" fontId="1" fillId="0" borderId="8" xfId="0" applyFont="1" applyFill="1" applyBorder="1" applyAlignment="1" applyProtection="1">
      <alignment horizontal="left"/>
    </xf>
    <xf numFmtId="1" fontId="0" fillId="0" borderId="0" xfId="0" applyNumberFormat="1" applyAlignment="1" applyProtection="1">
      <alignment horizontal="center"/>
    </xf>
    <xf numFmtId="164" fontId="0" fillId="0" borderId="24" xfId="0" applyNumberFormat="1" applyBorder="1" applyAlignment="1" applyProtection="1">
      <alignment horizontal="center"/>
    </xf>
    <xf numFmtId="0" fontId="0" fillId="0" borderId="24" xfId="0" applyBorder="1" applyAlignment="1" applyProtection="1">
      <alignment horizontal="center"/>
    </xf>
    <xf numFmtId="0" fontId="0" fillId="0" borderId="45" xfId="0" applyBorder="1" applyProtection="1"/>
    <xf numFmtId="0" fontId="0" fillId="0" borderId="46" xfId="0" applyBorder="1" applyProtection="1"/>
    <xf numFmtId="167" fontId="0" fillId="0" borderId="0" xfId="0" applyNumberFormat="1" applyAlignment="1" applyProtection="1">
      <alignment horizontal="center"/>
    </xf>
    <xf numFmtId="0" fontId="0" fillId="0" borderId="0" xfId="0" quotePrefix="1" applyBorder="1" applyAlignment="1" applyProtection="1">
      <alignment horizontal="center"/>
    </xf>
    <xf numFmtId="166" fontId="25" fillId="0" borderId="40" xfId="0" applyNumberFormat="1" applyFont="1" applyBorder="1" applyProtection="1"/>
    <xf numFmtId="166" fontId="25" fillId="0" borderId="0" xfId="0" applyNumberFormat="1" applyFont="1" applyProtection="1"/>
    <xf numFmtId="166" fontId="25" fillId="0" borderId="41" xfId="0" applyNumberFormat="1" applyFont="1" applyBorder="1" applyProtection="1"/>
    <xf numFmtId="166" fontId="25" fillId="0" borderId="35" xfId="0" applyNumberFormat="1" applyFont="1" applyBorder="1" applyProtection="1"/>
    <xf numFmtId="166" fontId="25" fillId="0" borderId="38" xfId="0" applyNumberFormat="1" applyFont="1" applyBorder="1" applyProtection="1"/>
    <xf numFmtId="166" fontId="25" fillId="0" borderId="39" xfId="0" applyNumberFormat="1" applyFont="1" applyBorder="1" applyProtection="1"/>
    <xf numFmtId="167" fontId="7" fillId="6" borderId="31" xfId="0" applyNumberFormat="1" applyFont="1" applyFill="1" applyBorder="1" applyAlignment="1" applyProtection="1">
      <alignment horizontal="center"/>
    </xf>
    <xf numFmtId="0" fontId="0" fillId="0" borderId="0" xfId="0" quotePrefix="1" applyFont="1" applyFill="1" applyBorder="1" applyAlignment="1" applyProtection="1">
      <alignment horizontal="center" vertical="center"/>
    </xf>
    <xf numFmtId="167" fontId="1" fillId="0" borderId="0" xfId="0" quotePrefix="1" applyNumberFormat="1" applyFont="1" applyProtection="1"/>
    <xf numFmtId="0" fontId="3" fillId="0" borderId="47" xfId="0" quotePrefix="1" applyFont="1" applyBorder="1" applyAlignment="1" applyProtection="1">
      <alignment horizontal="center" vertical="center" wrapText="1"/>
    </xf>
    <xf numFmtId="0" fontId="3" fillId="0" borderId="29" xfId="0" quotePrefix="1" applyFont="1" applyBorder="1" applyAlignment="1" applyProtection="1">
      <alignment horizontal="center" vertical="center" wrapText="1"/>
    </xf>
    <xf numFmtId="165" fontId="0" fillId="0" borderId="24" xfId="2" applyNumberFormat="1" applyFont="1" applyBorder="1" applyProtection="1"/>
    <xf numFmtId="165" fontId="0" fillId="0" borderId="11" xfId="2" applyNumberFormat="1" applyFont="1" applyBorder="1" applyProtection="1"/>
    <xf numFmtId="165" fontId="3" fillId="3" borderId="31" xfId="2" applyNumberFormat="1" applyFont="1" applyFill="1" applyBorder="1" applyAlignment="1" applyProtection="1">
      <alignment vertical="center"/>
    </xf>
    <xf numFmtId="165" fontId="3" fillId="3" borderId="48" xfId="2" applyNumberFormat="1" applyFont="1" applyFill="1" applyBorder="1" applyAlignment="1" applyProtection="1">
      <alignment vertical="center"/>
    </xf>
    <xf numFmtId="165" fontId="3" fillId="0" borderId="31" xfId="2" applyNumberFormat="1" applyFont="1" applyFill="1" applyBorder="1" applyAlignment="1" applyProtection="1">
      <alignment vertical="center"/>
    </xf>
    <xf numFmtId="165" fontId="3" fillId="0" borderId="48" xfId="2" applyNumberFormat="1" applyFont="1" applyFill="1" applyBorder="1" applyAlignment="1" applyProtection="1">
      <alignment vertical="center"/>
    </xf>
    <xf numFmtId="165" fontId="0" fillId="0" borderId="49" xfId="2" applyNumberFormat="1" applyFont="1" applyBorder="1" applyAlignment="1" applyProtection="1">
      <alignment vertical="center"/>
    </xf>
    <xf numFmtId="165" fontId="0" fillId="0" borderId="50" xfId="2" applyNumberFormat="1" applyFont="1" applyBorder="1" applyAlignment="1" applyProtection="1">
      <alignment vertical="center"/>
    </xf>
    <xf numFmtId="164" fontId="4" fillId="0" borderId="14" xfId="0" quotePrefix="1" applyNumberFormat="1" applyFont="1" applyFill="1" applyBorder="1" applyAlignment="1" applyProtection="1">
      <alignment horizontal="center" wrapText="1"/>
    </xf>
    <xf numFmtId="164" fontId="5" fillId="0" borderId="0" xfId="0" applyNumberFormat="1" applyFont="1" applyFill="1" applyBorder="1" applyAlignment="1" applyProtection="1">
      <alignment horizontal="center"/>
    </xf>
    <xf numFmtId="164" fontId="4" fillId="0" borderId="21" xfId="0" quotePrefix="1" applyNumberFormat="1" applyFont="1" applyFill="1" applyBorder="1" applyAlignment="1" applyProtection="1">
      <alignment horizontal="center" vertical="center" wrapText="1"/>
    </xf>
    <xf numFmtId="0" fontId="4" fillId="0" borderId="21" xfId="0" applyFont="1" applyFill="1" applyBorder="1" applyAlignment="1" applyProtection="1">
      <alignment horizontal="left" vertical="center"/>
    </xf>
    <xf numFmtId="0" fontId="4" fillId="0" borderId="21" xfId="0" quotePrefix="1" applyFont="1" applyFill="1" applyBorder="1" applyAlignment="1" applyProtection="1">
      <alignment horizontal="center" vertical="center"/>
    </xf>
    <xf numFmtId="0" fontId="4" fillId="0" borderId="21" xfId="0" applyFont="1" applyFill="1" applyBorder="1" applyAlignment="1" applyProtection="1">
      <alignment horizontal="center" vertical="center"/>
    </xf>
    <xf numFmtId="0" fontId="3" fillId="0" borderId="0" xfId="0" quotePrefix="1" applyFont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0" fillId="0" borderId="0" xfId="0" quotePrefix="1" applyBorder="1" applyAlignment="1" applyProtection="1">
      <alignment horizontal="center"/>
    </xf>
  </cellXfs>
  <cellStyles count="5">
    <cellStyle name="Comma" xfId="1" builtinId="3"/>
    <cellStyle name="Currency" xfId="2" builtinId="4"/>
    <cellStyle name="Normal" xfId="0" builtinId="0"/>
    <cellStyle name="Normal 2" xfId="3" xr:uid="{00000000-0005-0000-0000-000003000000}"/>
    <cellStyle name="Percent" xfId="4" builtinId="5"/>
  </cellStyles>
  <dxfs count="171"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numFmt numFmtId="166" formatCode="_(* #,##0_);_(* \(#,##0\);_(* &quot;-&quot;??_);_(@_)"/>
    </dxf>
    <dxf>
      <numFmt numFmtId="35" formatCode="_(* #,##0.00_);_(* \(#,##0.00\);_(* &quot;-&quot;??_);_(@_)"/>
    </dxf>
    <dxf>
      <numFmt numFmtId="2" formatCode="0.00"/>
    </dxf>
    <dxf>
      <numFmt numFmtId="2" formatCode="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</dxf>
    <dxf>
      <numFmt numFmtId="164" formatCode="&quot;$&quot;#,##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pivotCacheDefinition" Target="pivotCache/pivotCacheDefinition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177040" refreshedDate="44708.717706828706" createdVersion="6" refreshedVersion="7" recordCount="192" xr:uid="{00000000-000A-0000-FFFF-FFFFA6000000}">
  <cacheSource type="worksheet">
    <worksheetSource ref="B19:R211" sheet="Transactions"/>
  </cacheSource>
  <cacheFields count="17">
    <cacheField name="Serivce Month" numFmtId="17">
      <sharedItems containsSemiMixedTypes="0" containsNonDate="0" containsDate="1" containsString="0" minDate="2010-01-01T00:00:00" maxDate="2021-12-02T00:00:00" count="144">
        <d v="2021-01-01T00:00:00"/>
        <d v="2021-02-01T00:00:00"/>
        <d v="2021-03-01T00:00:00"/>
        <d v="2021-04-01T00:00:00"/>
        <d v="2021-05-01T00:00:00"/>
        <d v="2021-06-01T00:00:00"/>
        <d v="2021-07-01T00:00:00"/>
        <d v="2021-08-01T00:00:00"/>
        <d v="2021-09-01T00:00:00"/>
        <d v="2021-10-01T00:00:00"/>
        <d v="2021-11-01T00:00:00"/>
        <d v="2021-12-01T00:00:00"/>
        <d v="2013-05-01T00:00:00" u="1"/>
        <d v="2014-05-01T00:00:00" u="1"/>
        <d v="2015-05-01T00:00:00" u="1"/>
        <d v="2016-05-01T00:00:00" u="1"/>
        <d v="2017-05-01T00:00:00" u="1"/>
        <d v="2018-05-01T00:00:00" u="1"/>
        <d v="2019-05-01T00:00:00" u="1"/>
        <d v="2020-05-01T00:00:00" u="1"/>
        <d v="2010-11-01T00:00:00" u="1"/>
        <d v="2011-11-01T00:00:00" u="1"/>
        <d v="2012-11-01T00:00:00" u="1"/>
        <d v="2013-11-01T00:00:00" u="1"/>
        <d v="2014-11-01T00:00:00" u="1"/>
        <d v="2015-11-01T00:00:00" u="1"/>
        <d v="2016-11-01T00:00:00" u="1"/>
        <d v="2017-11-01T00:00:00" u="1"/>
        <d v="2018-11-01T00:00:00" u="1"/>
        <d v="2019-11-01T00:00:00" u="1"/>
        <d v="2020-11-01T00:00:00" u="1"/>
        <d v="2010-06-01T00:00:00" u="1"/>
        <d v="2011-06-01T00:00:00" u="1"/>
        <d v="2012-06-01T00:00:00" u="1"/>
        <d v="2013-06-01T00:00:00" u="1"/>
        <d v="2014-06-01T00:00:00" u="1"/>
        <d v="2015-06-01T00:00:00" u="1"/>
        <d v="2016-06-01T00:00:00" u="1"/>
        <d v="2017-06-01T00:00:00" u="1"/>
        <d v="2018-06-01T00:00:00" u="1"/>
        <d v="2019-06-01T00:00:00" u="1"/>
        <d v="2020-06-01T00:00:00" u="1"/>
        <d v="2010-12-01T00:00:00" u="1"/>
        <d v="2011-12-01T00:00:00" u="1"/>
        <d v="2012-12-01T00:00:00" u="1"/>
        <d v="2013-12-01T00:00:00" u="1"/>
        <d v="2014-12-01T00:00:00" u="1"/>
        <d v="2015-12-01T00:00:00" u="1"/>
        <d v="2016-12-01T00:00:00" u="1"/>
        <d v="2017-12-01T00:00:00" u="1"/>
        <d v="2018-12-01T00:00:00" u="1"/>
        <d v="2019-12-01T00:00:00" u="1"/>
        <d v="2020-12-01T00:00:00" u="1"/>
        <d v="2010-01-01T00:00:00" u="1"/>
        <d v="2011-01-01T00:00:00" u="1"/>
        <d v="2012-01-01T00:00:00" u="1"/>
        <d v="2013-01-01T00:00:00" u="1"/>
        <d v="2014-01-01T00:00:00" u="1"/>
        <d v="2015-01-01T00:00:00" u="1"/>
        <d v="2016-01-01T00:00:00" u="1"/>
        <d v="2017-01-01T00:00:00" u="1"/>
        <d v="2018-01-01T00:00:00" u="1"/>
        <d v="2019-01-01T00:00:00" u="1"/>
        <d v="2020-01-01T00:00:00" u="1"/>
        <d v="2010-07-01T00:00:00" u="1"/>
        <d v="2011-07-01T00:00:00" u="1"/>
        <d v="2012-07-01T00:00:00" u="1"/>
        <d v="2013-07-01T00:00:00" u="1"/>
        <d v="2014-07-01T00:00:00" u="1"/>
        <d v="2015-07-01T00:00:00" u="1"/>
        <d v="2016-07-01T00:00:00" u="1"/>
        <d v="2017-07-01T00:00:00" u="1"/>
        <d v="2018-07-01T00:00:00" u="1"/>
        <d v="2019-07-01T00:00:00" u="1"/>
        <d v="2020-07-01T00:00:00" u="1"/>
        <d v="2010-02-01T00:00:00" u="1"/>
        <d v="2011-02-01T00:00:00" u="1"/>
        <d v="2012-02-01T00:00:00" u="1"/>
        <d v="2013-02-01T00:00:00" u="1"/>
        <d v="2014-02-01T00:00:00" u="1"/>
        <d v="2015-02-01T00:00:00" u="1"/>
        <d v="2016-02-01T00:00:00" u="1"/>
        <d v="2017-02-01T00:00:00" u="1"/>
        <d v="2018-02-01T00:00:00" u="1"/>
        <d v="2019-02-01T00:00:00" u="1"/>
        <d v="2020-02-01T00:00:00" u="1"/>
        <d v="2010-08-01T00:00:00" u="1"/>
        <d v="2011-08-01T00:00:00" u="1"/>
        <d v="2012-08-01T00:00:00" u="1"/>
        <d v="2013-08-01T00:00:00" u="1"/>
        <d v="2014-08-01T00:00:00" u="1"/>
        <d v="2015-08-01T00:00:00" u="1"/>
        <d v="2016-08-01T00:00:00" u="1"/>
        <d v="2017-08-01T00:00:00" u="1"/>
        <d v="2018-08-01T00:00:00" u="1"/>
        <d v="2019-08-01T00:00:00" u="1"/>
        <d v="2020-08-01T00:00:00" u="1"/>
        <d v="2010-03-01T00:00:00" u="1"/>
        <d v="2011-03-01T00:00:00" u="1"/>
        <d v="2012-03-01T00:00:00" u="1"/>
        <d v="2013-03-01T00:00:00" u="1"/>
        <d v="2014-03-01T00:00:00" u="1"/>
        <d v="2015-03-01T00:00:00" u="1"/>
        <d v="2016-03-01T00:00:00" u="1"/>
        <d v="2017-03-01T00:00:00" u="1"/>
        <d v="2018-03-01T00:00:00" u="1"/>
        <d v="2019-03-01T00:00:00" u="1"/>
        <d v="2020-03-01T00:00:00" u="1"/>
        <d v="2010-09-01T00:00:00" u="1"/>
        <d v="2011-09-01T00:00:00" u="1"/>
        <d v="2012-09-01T00:00:00" u="1"/>
        <d v="2013-09-01T00:00:00" u="1"/>
        <d v="2014-09-01T00:00:00" u="1"/>
        <d v="2015-09-01T00:00:00" u="1"/>
        <d v="2016-09-01T00:00:00" u="1"/>
        <d v="2017-09-01T00:00:00" u="1"/>
        <d v="2018-09-01T00:00:00" u="1"/>
        <d v="2019-09-01T00:00:00" u="1"/>
        <d v="2020-09-01T00:00:00" u="1"/>
        <d v="2010-04-01T00:00:00" u="1"/>
        <d v="2011-04-01T00:00:00" u="1"/>
        <d v="2012-04-01T00:00:00" u="1"/>
        <d v="2013-04-01T00:00:00" u="1"/>
        <d v="2014-04-01T00:00:00" u="1"/>
        <d v="2015-04-01T00:00:00" u="1"/>
        <d v="2016-04-01T00:00:00" u="1"/>
        <d v="2017-04-01T00:00:00" u="1"/>
        <d v="2018-04-01T00:00:00" u="1"/>
        <d v="2019-04-01T00:00:00" u="1"/>
        <d v="2020-04-01T00:00:00" u="1"/>
        <d v="2010-10-01T00:00:00" u="1"/>
        <d v="2011-10-01T00:00:00" u="1"/>
        <d v="2012-10-01T00:00:00" u="1"/>
        <d v="2013-10-01T00:00:00" u="1"/>
        <d v="2014-10-01T00:00:00" u="1"/>
        <d v="2015-10-01T00:00:00" u="1"/>
        <d v="2016-10-01T00:00:00" u="1"/>
        <d v="2017-10-01T00:00:00" u="1"/>
        <d v="2018-10-01T00:00:00" u="1"/>
        <d v="2019-10-01T00:00:00" u="1"/>
        <d v="2020-10-01T00:00:00" u="1"/>
        <d v="2010-05-01T00:00:00" u="1"/>
        <d v="2011-05-01T00:00:00" u="1"/>
        <d v="2012-05-01T00:00:00" u="1"/>
      </sharedItems>
    </cacheField>
    <cacheField name="Billing_x000a_Date*" numFmtId="14">
      <sharedItems containsSemiMixedTypes="0" containsNonDate="0" containsDate="1" containsString="0" minDate="2021-02-03T00:00:00" maxDate="2022-01-06T00:00:00"/>
    </cacheField>
    <cacheField name="Payment Received*" numFmtId="14">
      <sharedItems containsSemiMixedTypes="0" containsNonDate="0" containsDate="1" containsString="0" minDate="2021-02-24T00:00:00" maxDate="2022-01-25T00:00:00"/>
    </cacheField>
    <cacheField name="Customer" numFmtId="0">
      <sharedItems count="22">
        <s v="PSO"/>
        <s v="SWEPCO"/>
        <s v="SWEPCO-Valley"/>
        <s v="AECC"/>
        <s v="AECI"/>
        <s v="WFEC"/>
        <s v="OMPA"/>
        <s v="OG&amp;E"/>
        <s v="ETEC"/>
        <s v="Greenbelt"/>
        <s v="Lighthouse"/>
        <s v="Bentonville, AR"/>
        <s v="Prescott, AR"/>
        <s v="Minden, LA"/>
        <s v="Hope, AR"/>
        <s v="Coffeyville, KS"/>
        <s v="Bentonville" u="1"/>
        <s v="Hope" u="1"/>
        <s v="NTEC" u="1"/>
        <s v="TEXLA" u="1"/>
        <s v="Prescott" u="1"/>
        <s v="Minden" u="1"/>
      </sharedItems>
    </cacheField>
    <cacheField name="Sched." numFmtId="0">
      <sharedItems containsSemiMixedTypes="0" containsString="0" containsNumber="1" containsInteger="1" minValue="9" maxValue="9"/>
    </cacheField>
    <cacheField name="MW" numFmtId="1">
      <sharedItems containsSemiMixedTypes="0" containsString="0" containsNumber="1" containsInteger="1" minValue="1" maxValue="4029"/>
    </cacheField>
    <cacheField name="Projected Rate (as Invoiced)" numFmtId="164">
      <sharedItems containsSemiMixedTypes="0" containsString="0" containsNumber="1" minValue="1.1251790663222052" maxValue="1.1251790663222052"/>
    </cacheField>
    <cacheField name="Actual True-Up Rate" numFmtId="164">
      <sharedItems containsSemiMixedTypes="0" containsString="0" containsNumber="1" minValue="1.3376212393608571" maxValue="1.3376212393608571"/>
    </cacheField>
    <cacheField name="True-Up Charge" numFmtId="164">
      <sharedItems containsSemiMixedTypes="0" containsString="0" containsNumber="1" minValue="1.3376212393608571" maxValue="5389.2759733848934"/>
    </cacheField>
    <cacheField name="Invoiced*** Charge (proj.)" numFmtId="164">
      <sharedItems containsSemiMixedTypes="0" containsString="0" containsNumber="1" minValue="1.1251790663222052" maxValue="4533.3464582121651"/>
    </cacheField>
    <cacheField name="True-Up w/o Interest" numFmtId="164">
      <sharedItems containsSemiMixedTypes="0" containsString="0" containsNumber="1" minValue="0.21244217303865187" maxValue="855.92951517272832"/>
    </cacheField>
    <cacheField name="Interest" numFmtId="164">
      <sharedItems containsSemiMixedTypes="0" containsString="0" containsNumber="1" minValue="6.6192750007713855E-3" maxValue="26.669058978107913"/>
    </cacheField>
    <cacheField name="2021 True Up Including Interest" numFmtId="164">
      <sharedItems containsSemiMixedTypes="0" containsString="0" containsNumber="1" minValue="0.21906144803942326" maxValue="882.59857415083627"/>
    </cacheField>
    <cacheField name="Tax Rebilling Rate" numFmtId="164">
      <sharedItems containsSemiMixedTypes="0" containsString="0" containsNumber="1" containsInteger="1" minValue="0" maxValue="0"/>
    </cacheField>
    <cacheField name="Tax True Up Billing" numFmtId="164">
      <sharedItems containsSemiMixedTypes="0" containsString="0" containsNumber="1" containsInteger="1" minValue="0" maxValue="0"/>
    </cacheField>
    <cacheField name="Tax True Up" numFmtId="164">
      <sharedItems containsSemiMixedTypes="0" containsString="0" containsNumber="1" containsInteger="1" minValue="0" maxValue="0"/>
    </cacheField>
    <cacheField name="Total True-up" numFmtId="164">
      <sharedItems containsSemiMixedTypes="0" containsString="0" containsNumber="1" minValue="0.21906144803942326" maxValue="882.59857415083627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92">
  <r>
    <x v="0"/>
    <d v="2021-02-03T00:00:00"/>
    <d v="2021-02-24T00:00:00"/>
    <x v="0"/>
    <n v="9"/>
    <n v="2536"/>
    <n v="1.1251790663222052"/>
    <n v="1.3376212393608571"/>
    <n v="3392.2074630191337"/>
    <n v="2853.4541121931125"/>
    <n v="538.75335082602123"/>
    <n v="16.786481401956234"/>
    <n v="555.53983222797751"/>
    <n v="0"/>
    <n v="0"/>
    <n v="0"/>
    <n v="555.53983222797751"/>
  </r>
  <r>
    <x v="1"/>
    <d v="2021-03-03T00:00:00"/>
    <d v="2021-03-24T00:00:00"/>
    <x v="0"/>
    <n v="9"/>
    <n v="2976"/>
    <n v="1.1251790663222052"/>
    <n v="1.3376212393608571"/>
    <n v="3980.7608083379105"/>
    <n v="3348.5329013748828"/>
    <n v="632.22790696302764"/>
    <n v="19.698962402295642"/>
    <n v="651.92686936532323"/>
    <n v="0"/>
    <n v="0"/>
    <n v="0"/>
    <n v="651.92686936532323"/>
  </r>
  <r>
    <x v="2"/>
    <d v="2021-04-05T00:00:00"/>
    <d v="2021-04-26T00:00:00"/>
    <x v="0"/>
    <n v="9"/>
    <n v="2203"/>
    <n v="1.1251790663222052"/>
    <n v="1.3376212393608571"/>
    <n v="2946.7795903119681"/>
    <n v="2478.7694831078179"/>
    <n v="468.01010720415024"/>
    <n v="14.582262826699363"/>
    <n v="482.59237003084962"/>
    <n v="0"/>
    <n v="0"/>
    <n v="0"/>
    <n v="482.59237003084962"/>
  </r>
  <r>
    <x v="3"/>
    <d v="2021-05-05T00:00:00"/>
    <d v="2021-05-24T00:00:00"/>
    <x v="0"/>
    <n v="9"/>
    <n v="2146"/>
    <n v="1.1251790663222052"/>
    <n v="1.3376212393608571"/>
    <n v="2870.5351796683995"/>
    <n v="2414.6342763274524"/>
    <n v="455.90090334094702"/>
    <n v="14.204964151655394"/>
    <n v="470.10586749260244"/>
    <n v="0"/>
    <n v="0"/>
    <n v="0"/>
    <n v="470.10586749260244"/>
  </r>
  <r>
    <x v="4"/>
    <d v="2021-06-03T00:00:00"/>
    <d v="2021-06-24T00:00:00"/>
    <x v="0"/>
    <n v="9"/>
    <n v="2961"/>
    <n v="1.1251790663222052"/>
    <n v="1.3376212393608571"/>
    <n v="3960.6964897474977"/>
    <n v="3331.6552153800494"/>
    <n v="629.0412743674483"/>
    <n v="19.599673277284072"/>
    <n v="648.64094764473236"/>
    <n v="0"/>
    <n v="0"/>
    <n v="0"/>
    <n v="648.64094764473236"/>
  </r>
  <r>
    <x v="5"/>
    <d v="2021-07-06T00:00:00"/>
    <d v="2021-07-24T00:00:00"/>
    <x v="0"/>
    <n v="9"/>
    <n v="3827"/>
    <n v="1.1251790663222052"/>
    <n v="1.3376212393608571"/>
    <n v="5119.0764830340004"/>
    <n v="4306.0602868150791"/>
    <n v="813.01619621892132"/>
    <n v="25.331965427952092"/>
    <n v="838.34816164687345"/>
    <n v="0"/>
    <n v="0"/>
    <n v="0"/>
    <n v="838.34816164687345"/>
  </r>
  <r>
    <x v="6"/>
    <d v="2021-08-04T00:00:00"/>
    <d v="2021-08-24T00:00:00"/>
    <x v="0"/>
    <n v="9"/>
    <n v="3938"/>
    <n v="1.1251790663222052"/>
    <n v="1.3376212393608571"/>
    <n v="5267.5524406030554"/>
    <n v="4430.9551631768445"/>
    <n v="836.59727742621089"/>
    <n v="26.066704953037714"/>
    <n v="862.66398237924864"/>
    <n v="0"/>
    <n v="0"/>
    <n v="0"/>
    <n v="862.66398237924864"/>
  </r>
  <r>
    <x v="7"/>
    <d v="2021-09-03T00:00:00"/>
    <d v="2021-09-24T00:00:00"/>
    <x v="0"/>
    <n v="9"/>
    <n v="4002"/>
    <n v="1.1251790663222052"/>
    <n v="1.3376212393608571"/>
    <n v="5353.1601999221502"/>
    <n v="4502.9666234214656"/>
    <n v="850.19357650068469"/>
    <n v="26.490338553087081"/>
    <n v="876.68391505377178"/>
    <n v="0"/>
    <n v="0"/>
    <n v="0"/>
    <n v="876.68391505377178"/>
  </r>
  <r>
    <x v="8"/>
    <d v="2021-10-05T00:00:00"/>
    <d v="2021-10-25T00:00:00"/>
    <x v="0"/>
    <n v="9"/>
    <n v="4029"/>
    <n v="1.1251790663222052"/>
    <n v="1.3376212393608571"/>
    <n v="5389.2759733848934"/>
    <n v="4533.3464582121651"/>
    <n v="855.92951517272832"/>
    <n v="26.669058978107913"/>
    <n v="882.59857415083627"/>
    <n v="0"/>
    <n v="0"/>
    <n v="0"/>
    <n v="882.59857415083627"/>
  </r>
  <r>
    <x v="9"/>
    <d v="2021-11-03T00:00:00"/>
    <d v="2021-11-24T00:00:00"/>
    <x v="0"/>
    <n v="9"/>
    <n v="3123"/>
    <n v="1.1251790663222052"/>
    <n v="1.3376212393608571"/>
    <n v="4177.3911305239562"/>
    <n v="3513.9342241242471"/>
    <n v="663.45690639970917"/>
    <n v="20.671995827409038"/>
    <n v="684.12890222711826"/>
    <n v="0"/>
    <n v="0"/>
    <n v="0"/>
    <n v="684.12890222711826"/>
  </r>
  <r>
    <x v="10"/>
    <d v="2021-12-03T00:00:00"/>
    <d v="2021-12-27T00:00:00"/>
    <x v="0"/>
    <n v="9"/>
    <n v="2263"/>
    <n v="1.1251790663222052"/>
    <n v="1.3376212393608571"/>
    <n v="3027.0368646736197"/>
    <n v="2546.2802270871503"/>
    <n v="480.75663758646942"/>
    <n v="14.979419326745646"/>
    <n v="495.73605691321507"/>
    <n v="0"/>
    <n v="0"/>
    <n v="0"/>
    <n v="495.73605691321507"/>
  </r>
  <r>
    <x v="11"/>
    <d v="2022-01-05T00:00:00"/>
    <d v="2022-01-24T00:00:00"/>
    <x v="0"/>
    <n v="9"/>
    <n v="2379"/>
    <n v="1.1251790663222052"/>
    <n v="1.3376212393608571"/>
    <n v="3182.200928439479"/>
    <n v="2676.8009987805262"/>
    <n v="505.39992965895271"/>
    <n v="15.747255226835126"/>
    <n v="521.14718488578785"/>
    <n v="0"/>
    <n v="0"/>
    <n v="0"/>
    <n v="521.14718488578785"/>
  </r>
  <r>
    <x v="0"/>
    <d v="2021-02-03T00:00:00"/>
    <d v="2021-02-24T00:00:00"/>
    <x v="1"/>
    <n v="9"/>
    <n v="2771"/>
    <n v="1.1251790663222052"/>
    <n v="1.3376212393608571"/>
    <n v="3706.5484542689351"/>
    <n v="3117.8711927788308"/>
    <n v="588.67726149010423"/>
    <n v="18.342011027137509"/>
    <n v="607.01927251724169"/>
    <n v="0"/>
    <n v="0"/>
    <n v="0"/>
    <n v="607.01927251724169"/>
  </r>
  <r>
    <x v="1"/>
    <d v="2021-03-03T00:00:00"/>
    <d v="2021-03-24T00:00:00"/>
    <x v="1"/>
    <n v="9"/>
    <n v="3136"/>
    <n v="1.1251790663222052"/>
    <n v="1.3376212393608571"/>
    <n v="4194.780206635648"/>
    <n v="3528.5615519864355"/>
    <n v="666.21865464921257"/>
    <n v="20.758046402419065"/>
    <n v="686.97670105163161"/>
    <n v="0"/>
    <n v="0"/>
    <n v="0"/>
    <n v="686.97670105163161"/>
  </r>
  <r>
    <x v="2"/>
    <d v="2021-04-05T00:00:00"/>
    <d v="2021-04-26T00:00:00"/>
    <x v="1"/>
    <n v="9"/>
    <n v="2339"/>
    <n v="1.1251790663222052"/>
    <n v="1.3376212393608571"/>
    <n v="3128.6960788650449"/>
    <n v="2631.7938361276379"/>
    <n v="496.90224273740705"/>
    <n v="15.482484226804271"/>
    <n v="512.38472696421127"/>
    <n v="0"/>
    <n v="0"/>
    <n v="0"/>
    <n v="512.38472696421127"/>
  </r>
  <r>
    <x v="3"/>
    <d v="2021-05-05T00:00:00"/>
    <d v="2021-05-24T00:00:00"/>
    <x v="1"/>
    <n v="9"/>
    <n v="2394"/>
    <n v="1.1251790663222052"/>
    <n v="1.3376212393608571"/>
    <n v="3202.2652470298917"/>
    <n v="2693.6786847753592"/>
    <n v="508.58656225453251"/>
    <n v="15.846544351846697"/>
    <n v="524.43310660637917"/>
    <n v="0"/>
    <n v="0"/>
    <n v="0"/>
    <n v="524.43310660637917"/>
  </r>
  <r>
    <x v="4"/>
    <d v="2021-06-03T00:00:00"/>
    <d v="2021-06-24T00:00:00"/>
    <x v="1"/>
    <n v="9"/>
    <n v="2807"/>
    <n v="1.1251790663222052"/>
    <n v="1.3376212393608571"/>
    <n v="3754.7028188859258"/>
    <n v="3158.3776391664301"/>
    <n v="596.32517971949574"/>
    <n v="18.58030492716528"/>
    <n v="614.90548464666097"/>
    <n v="0"/>
    <n v="0"/>
    <n v="0"/>
    <n v="614.90548464666097"/>
  </r>
  <r>
    <x v="5"/>
    <d v="2021-07-06T00:00:00"/>
    <d v="2021-07-24T00:00:00"/>
    <x v="1"/>
    <n v="9"/>
    <n v="3345"/>
    <n v="1.1251790663222052"/>
    <n v="1.3376212393608571"/>
    <n v="4474.3430456620672"/>
    <n v="3763.7239768477766"/>
    <n v="710.61906881429059"/>
    <n v="22.141474877580286"/>
    <n v="732.76054369187091"/>
    <n v="0"/>
    <n v="0"/>
    <n v="0"/>
    <n v="732.76054369187091"/>
  </r>
  <r>
    <x v="6"/>
    <d v="2021-08-04T00:00:00"/>
    <d v="2021-08-24T00:00:00"/>
    <x v="1"/>
    <n v="9"/>
    <n v="3525"/>
    <n v="1.1251790663222052"/>
    <n v="1.3376212393608571"/>
    <n v="4715.1148687470213"/>
    <n v="3966.2562087857732"/>
    <n v="748.85865996124812"/>
    <n v="23.332944377719134"/>
    <n v="772.1916043389673"/>
    <n v="0"/>
    <n v="0"/>
    <n v="0"/>
    <n v="772.1916043389673"/>
  </r>
  <r>
    <x v="7"/>
    <d v="2021-09-03T00:00:00"/>
    <d v="2021-09-24T00:00:00"/>
    <x v="1"/>
    <n v="9"/>
    <n v="3514"/>
    <n v="1.1251790663222052"/>
    <n v="1.3376212393608571"/>
    <n v="4700.4010351140514"/>
    <n v="3953.8792390562289"/>
    <n v="746.52179605782248"/>
    <n v="23.260132352710645"/>
    <n v="769.78192841053317"/>
    <n v="0"/>
    <n v="0"/>
    <n v="0"/>
    <n v="769.78192841053317"/>
  </r>
  <r>
    <x v="8"/>
    <d v="2021-10-05T00:00:00"/>
    <d v="2021-10-25T00:00:00"/>
    <x v="1"/>
    <n v="9"/>
    <n v="3486"/>
    <n v="1.1251790663222052"/>
    <n v="1.3376212393608571"/>
    <n v="4662.9476404119478"/>
    <n v="3922.3742251992076"/>
    <n v="740.5734152127402"/>
    <n v="23.074792652689052"/>
    <n v="763.6482078654293"/>
    <n v="0"/>
    <n v="0"/>
    <n v="0"/>
    <n v="763.6482078654293"/>
  </r>
  <r>
    <x v="9"/>
    <d v="2021-11-03T00:00:00"/>
    <d v="2021-11-24T00:00:00"/>
    <x v="1"/>
    <n v="9"/>
    <n v="2777"/>
    <n v="1.1251790663222052"/>
    <n v="1.3376212393608571"/>
    <n v="3714.5741817051003"/>
    <n v="3124.6222671767637"/>
    <n v="589.9519145283366"/>
    <n v="18.38172667714214"/>
    <n v="608.33364120547878"/>
    <n v="0"/>
    <n v="0"/>
    <n v="0"/>
    <n v="608.33364120547878"/>
  </r>
  <r>
    <x v="10"/>
    <d v="2021-12-03T00:00:00"/>
    <d v="2021-12-27T00:00:00"/>
    <x v="1"/>
    <n v="9"/>
    <n v="2284"/>
    <n v="1.1251790663222052"/>
    <n v="1.3376212393608571"/>
    <n v="3055.1269107001976"/>
    <n v="2569.9089874799165"/>
    <n v="485.21792322028114"/>
    <n v="15.118424101761844"/>
    <n v="500.33634732204297"/>
    <n v="0"/>
    <n v="0"/>
    <n v="0"/>
    <n v="500.33634732204297"/>
  </r>
  <r>
    <x v="11"/>
    <d v="2022-01-05T00:00:00"/>
    <d v="2022-01-24T00:00:00"/>
    <x v="1"/>
    <n v="9"/>
    <n v="2425"/>
    <n v="1.1251790663222052"/>
    <n v="1.3376212393608571"/>
    <n v="3243.7315054500782"/>
    <n v="2728.5592358313475"/>
    <n v="515.17226961873075"/>
    <n v="16.051741876870611"/>
    <n v="531.22401149560142"/>
    <n v="0"/>
    <n v="0"/>
    <n v="0"/>
    <n v="531.22401149560142"/>
  </r>
  <r>
    <x v="0"/>
    <d v="2021-02-03T00:00:00"/>
    <d v="2021-02-24T00:00:00"/>
    <x v="2"/>
    <n v="9"/>
    <n v="146"/>
    <n v="1.1251790663222052"/>
    <n v="1.3376212393608571"/>
    <n v="195.29270094668513"/>
    <n v="164.27614368304197"/>
    <n v="31.016557263643165"/>
    <n v="0.96641415011262233"/>
    <n v="31.982971413755788"/>
    <n v="0"/>
    <n v="0"/>
    <n v="0"/>
    <n v="31.982971413755788"/>
  </r>
  <r>
    <x v="1"/>
    <d v="2021-03-03T00:00:00"/>
    <d v="2021-03-24T00:00:00"/>
    <x v="2"/>
    <n v="9"/>
    <n v="212"/>
    <n v="1.1251790663222052"/>
    <n v="1.3376212393608571"/>
    <n v="283.57570274450171"/>
    <n v="238.53796206030751"/>
    <n v="45.037740684194205"/>
    <n v="1.4032863001635338"/>
    <n v="46.441026984357741"/>
    <n v="0"/>
    <n v="0"/>
    <n v="0"/>
    <n v="46.441026984357741"/>
  </r>
  <r>
    <x v="2"/>
    <d v="2021-04-05T00:00:00"/>
    <d v="2021-04-26T00:00:00"/>
    <x v="2"/>
    <n v="9"/>
    <n v="125"/>
    <n v="1.1251790663222052"/>
    <n v="1.3376212393608571"/>
    <n v="167.20265492010714"/>
    <n v="140.64738329027566"/>
    <n v="26.555271629831481"/>
    <n v="0.82740937509642321"/>
    <n v="27.382681004927903"/>
    <n v="0"/>
    <n v="0"/>
    <n v="0"/>
    <n v="27.382681004927903"/>
  </r>
  <r>
    <x v="3"/>
    <d v="2021-05-05T00:00:00"/>
    <d v="2021-05-24T00:00:00"/>
    <x v="2"/>
    <n v="9"/>
    <n v="92"/>
    <n v="1.1251790663222052"/>
    <n v="1.3376212393608571"/>
    <n v="123.06115402119885"/>
    <n v="103.51647410164288"/>
    <n v="19.544679919555961"/>
    <n v="0.6089733000709675"/>
    <n v="20.153653219626928"/>
    <n v="0"/>
    <n v="0"/>
    <n v="0"/>
    <n v="20.153653219626928"/>
  </r>
  <r>
    <x v="4"/>
    <d v="2021-06-03T00:00:00"/>
    <d v="2021-06-24T00:00:00"/>
    <x v="2"/>
    <n v="9"/>
    <n v="102"/>
    <n v="1.1251790663222052"/>
    <n v="1.3376212393608571"/>
    <n v="136.43736641480743"/>
    <n v="114.76826476486494"/>
    <n v="21.66910164994249"/>
    <n v="0.67516605007868136"/>
    <n v="22.34426770002117"/>
    <n v="0"/>
    <n v="0"/>
    <n v="0"/>
    <n v="22.34426770002117"/>
  </r>
  <r>
    <x v="5"/>
    <d v="2021-07-06T00:00:00"/>
    <d v="2021-07-24T00:00:00"/>
    <x v="2"/>
    <n v="9"/>
    <n v="124"/>
    <n v="1.1251790663222052"/>
    <n v="1.3376212393608571"/>
    <n v="165.86503368074628"/>
    <n v="139.52220422395345"/>
    <n v="26.342829456792828"/>
    <n v="0.82079010009565179"/>
    <n v="27.163619556888481"/>
    <n v="0"/>
    <n v="0"/>
    <n v="0"/>
    <n v="27.163619556888481"/>
  </r>
  <r>
    <x v="6"/>
    <d v="2021-08-04T00:00:00"/>
    <d v="2021-08-24T00:00:00"/>
    <x v="2"/>
    <n v="9"/>
    <n v="138"/>
    <n v="1.1251790663222052"/>
    <n v="1.3376212393608571"/>
    <n v="184.59173103179828"/>
    <n v="155.27471115246431"/>
    <n v="29.317019879333969"/>
    <n v="0.91345995010645131"/>
    <n v="30.230479829440419"/>
    <n v="0"/>
    <n v="0"/>
    <n v="0"/>
    <n v="30.230479829440419"/>
  </r>
  <r>
    <x v="7"/>
    <d v="2021-09-03T00:00:00"/>
    <d v="2021-09-24T00:00:00"/>
    <x v="2"/>
    <n v="9"/>
    <n v="140"/>
    <n v="1.1251790663222052"/>
    <n v="1.3376212393608571"/>
    <n v="187.26697351051999"/>
    <n v="157.52506928510874"/>
    <n v="29.741904225411247"/>
    <n v="0.92669850010799404"/>
    <n v="30.668602725519239"/>
    <n v="0"/>
    <n v="0"/>
    <n v="0"/>
    <n v="30.668602725519239"/>
  </r>
  <r>
    <x v="8"/>
    <d v="2021-10-05T00:00:00"/>
    <d v="2021-10-25T00:00:00"/>
    <x v="2"/>
    <n v="9"/>
    <n v="140"/>
    <n v="1.1251790663222052"/>
    <n v="1.3376212393608571"/>
    <n v="187.26697351051999"/>
    <n v="157.52506928510874"/>
    <n v="29.741904225411247"/>
    <n v="0.92669850010799404"/>
    <n v="30.668602725519239"/>
    <n v="0"/>
    <n v="0"/>
    <n v="0"/>
    <n v="30.668602725519239"/>
  </r>
  <r>
    <x v="9"/>
    <d v="2021-11-03T00:00:00"/>
    <d v="2021-11-24T00:00:00"/>
    <x v="2"/>
    <n v="9"/>
    <n v="106"/>
    <n v="1.1251790663222052"/>
    <n v="1.3376212393608571"/>
    <n v="141.78785137225086"/>
    <n v="119.26898103015375"/>
    <n v="22.518870342097102"/>
    <n v="0.70164315008176692"/>
    <n v="23.220513492178871"/>
    <n v="0"/>
    <n v="0"/>
    <n v="0"/>
    <n v="23.220513492178871"/>
  </r>
  <r>
    <x v="10"/>
    <d v="2021-12-03T00:00:00"/>
    <d v="2021-12-27T00:00:00"/>
    <x v="2"/>
    <n v="9"/>
    <n v="107"/>
    <n v="1.1251790663222052"/>
    <n v="1.3376212393608571"/>
    <n v="143.12547261161171"/>
    <n v="120.39416009647596"/>
    <n v="22.731312515135755"/>
    <n v="0.70826242508253823"/>
    <n v="23.439574940218293"/>
    <n v="0"/>
    <n v="0"/>
    <n v="0"/>
    <n v="23.439574940218293"/>
  </r>
  <r>
    <x v="11"/>
    <d v="2022-01-05T00:00:00"/>
    <d v="2022-01-24T00:00:00"/>
    <x v="2"/>
    <n v="9"/>
    <n v="110"/>
    <n v="1.1251790663222052"/>
    <n v="1.3376212393608571"/>
    <n v="147.13833632969428"/>
    <n v="123.76969729544257"/>
    <n v="23.368639034251714"/>
    <n v="0.72812025008485248"/>
    <n v="24.096759284336567"/>
    <n v="0"/>
    <n v="0"/>
    <n v="0"/>
    <n v="24.096759284336567"/>
  </r>
  <r>
    <x v="0"/>
    <d v="2021-02-03T00:00:00"/>
    <d v="2021-02-24T00:00:00"/>
    <x v="3"/>
    <n v="9"/>
    <n v="767"/>
    <n v="1.1251790663222052"/>
    <n v="1.3376212393608571"/>
    <n v="1025.9554905897774"/>
    <n v="863.01234386913143"/>
    <n v="162.94314672064593"/>
    <n v="5.0769839255916525"/>
    <n v="168.02013064623759"/>
    <n v="0"/>
    <n v="0"/>
    <n v="0"/>
    <n v="168.02013064623759"/>
  </r>
  <r>
    <x v="1"/>
    <d v="2021-03-03T00:00:00"/>
    <d v="2021-03-24T00:00:00"/>
    <x v="3"/>
    <n v="9"/>
    <n v="1062"/>
    <n v="1.1251790663222052"/>
    <n v="1.3376212393608571"/>
    <n v="1420.5537562012303"/>
    <n v="1194.9401684341819"/>
    <n v="225.61358776704833"/>
    <n v="7.0296700508192114"/>
    <n v="232.64325781786755"/>
    <n v="0"/>
    <n v="0"/>
    <n v="0"/>
    <n v="232.64325781786755"/>
  </r>
  <r>
    <x v="2"/>
    <d v="2021-04-05T00:00:00"/>
    <d v="2021-04-26T00:00:00"/>
    <x v="3"/>
    <n v="9"/>
    <n v="599"/>
    <n v="1.1251790663222052"/>
    <n v="1.3376212393608571"/>
    <n v="801.2351223771534"/>
    <n v="673.98226072700095"/>
    <n v="127.25286165015245"/>
    <n v="3.9649457254620599"/>
    <n v="131.21780737561451"/>
    <n v="0"/>
    <n v="0"/>
    <n v="0"/>
    <n v="131.21780737561451"/>
  </r>
  <r>
    <x v="3"/>
    <d v="2021-05-05T00:00:00"/>
    <d v="2021-05-24T00:00:00"/>
    <x v="3"/>
    <n v="9"/>
    <n v="447"/>
    <n v="1.1251790663222052"/>
    <n v="1.3376212393608571"/>
    <n v="597.91669399430316"/>
    <n v="502.95504264602573"/>
    <n v="94.961651348277428"/>
    <n v="2.9588159253448092"/>
    <n v="97.920467273622236"/>
    <n v="0"/>
    <n v="0"/>
    <n v="0"/>
    <n v="97.920467273622236"/>
  </r>
  <r>
    <x v="4"/>
    <d v="2021-06-03T00:00:00"/>
    <d v="2021-06-24T00:00:00"/>
    <x v="3"/>
    <n v="9"/>
    <n v="603"/>
    <n v="1.1251790663222052"/>
    <n v="1.3376212393608571"/>
    <n v="806.58560733459683"/>
    <n v="678.48297699228976"/>
    <n v="128.10263034230707"/>
    <n v="3.9914228254651452"/>
    <n v="132.09405316777222"/>
    <n v="0"/>
    <n v="0"/>
    <n v="0"/>
    <n v="132.09405316777222"/>
  </r>
  <r>
    <x v="5"/>
    <d v="2021-07-06T00:00:00"/>
    <d v="2021-07-24T00:00:00"/>
    <x v="3"/>
    <n v="9"/>
    <n v="840"/>
    <n v="1.1251790663222052"/>
    <n v="1.3376212393608571"/>
    <n v="1123.60184106312"/>
    <n v="945.1504157106524"/>
    <n v="178.4514253524676"/>
    <n v="5.560191000647964"/>
    <n v="184.01161635311556"/>
    <n v="0"/>
    <n v="0"/>
    <n v="0"/>
    <n v="184.01161635311556"/>
  </r>
  <r>
    <x v="6"/>
    <d v="2021-08-04T00:00:00"/>
    <d v="2021-08-24T00:00:00"/>
    <x v="3"/>
    <n v="9"/>
    <n v="926"/>
    <n v="1.1251790663222052"/>
    <n v="1.3376212393608571"/>
    <n v="1238.6372676481537"/>
    <n v="1041.915815414362"/>
    <n v="196.72145223379175"/>
    <n v="6.129448650714302"/>
    <n v="202.85090088450605"/>
    <n v="0"/>
    <n v="0"/>
    <n v="0"/>
    <n v="202.85090088450605"/>
  </r>
  <r>
    <x v="7"/>
    <d v="2021-09-03T00:00:00"/>
    <d v="2021-09-24T00:00:00"/>
    <x v="3"/>
    <n v="9"/>
    <n v="943"/>
    <n v="1.1251790663222052"/>
    <n v="1.3376212393608571"/>
    <n v="1261.3768287172882"/>
    <n v="1061.0438595418395"/>
    <n v="200.33296917544862"/>
    <n v="6.2419763257274168"/>
    <n v="206.57494550117605"/>
    <n v="0"/>
    <n v="0"/>
    <n v="0"/>
    <n v="206.57494550117605"/>
  </r>
  <r>
    <x v="8"/>
    <d v="2021-10-05T00:00:00"/>
    <d v="2021-10-25T00:00:00"/>
    <x v="3"/>
    <n v="9"/>
    <n v="913"/>
    <n v="1.1251790663222052"/>
    <n v="1.3376212393608571"/>
    <n v="1221.2481915364626"/>
    <n v="1027.2884875521734"/>
    <n v="193.95970398428926"/>
    <n v="6.0433980757042747"/>
    <n v="200.00310205999352"/>
    <n v="0"/>
    <n v="0"/>
    <n v="0"/>
    <n v="200.00310205999352"/>
  </r>
  <r>
    <x v="9"/>
    <d v="2021-11-03T00:00:00"/>
    <d v="2021-11-24T00:00:00"/>
    <x v="3"/>
    <n v="9"/>
    <n v="681"/>
    <n v="1.1251790663222052"/>
    <n v="1.3376212393608571"/>
    <n v="910.92006400474372"/>
    <n v="766.24694416542172"/>
    <n v="144.673119839322"/>
    <n v="4.5077262755253136"/>
    <n v="149.1808461148473"/>
    <n v="0"/>
    <n v="0"/>
    <n v="0"/>
    <n v="149.1808461148473"/>
  </r>
  <r>
    <x v="10"/>
    <d v="2021-12-03T00:00:00"/>
    <d v="2021-12-27T00:00:00"/>
    <x v="3"/>
    <n v="9"/>
    <n v="652"/>
    <n v="1.1251790663222052"/>
    <n v="1.3376212393608571"/>
    <n v="872.12904806327879"/>
    <n v="733.61675124207784"/>
    <n v="138.51229682120095"/>
    <n v="4.3157673005029435"/>
    <n v="142.8280641217039"/>
    <n v="0"/>
    <n v="0"/>
    <n v="0"/>
    <n v="142.8280641217039"/>
  </r>
  <r>
    <x v="11"/>
    <d v="2022-01-05T00:00:00"/>
    <d v="2022-01-24T00:00:00"/>
    <x v="3"/>
    <n v="9"/>
    <n v="634"/>
    <n v="1.1251790663222052"/>
    <n v="1.3376212393608571"/>
    <n v="848.05186575478342"/>
    <n v="713.36352804827811"/>
    <n v="134.68833770650531"/>
    <n v="4.1966203504890585"/>
    <n v="138.88495805699438"/>
    <n v="0"/>
    <n v="0"/>
    <n v="0"/>
    <n v="138.88495805699438"/>
  </r>
  <r>
    <x v="0"/>
    <d v="2021-02-03T00:00:00"/>
    <d v="2021-02-24T00:00:00"/>
    <x v="4"/>
    <n v="9"/>
    <n v="38"/>
    <n v="1.1251790663222052"/>
    <n v="1.3376212393608571"/>
    <n v="50.829607095712568"/>
    <n v="42.756804520243797"/>
    <n v="8.0728025754687707"/>
    <n v="0.25153245002931263"/>
    <n v="8.3243350254980832"/>
    <n v="0"/>
    <n v="0"/>
    <n v="0"/>
    <n v="8.3243350254980832"/>
  </r>
  <r>
    <x v="1"/>
    <d v="2021-03-03T00:00:00"/>
    <d v="2021-03-24T00:00:00"/>
    <x v="4"/>
    <n v="9"/>
    <n v="60"/>
    <n v="1.1251790663222052"/>
    <n v="1.3376212393608571"/>
    <n v="80.257274361651426"/>
    <n v="67.510743979332318"/>
    <n v="12.746530382319108"/>
    <n v="0.39715650004628311"/>
    <n v="13.14368688236539"/>
    <n v="0"/>
    <n v="0"/>
    <n v="0"/>
    <n v="13.14368688236539"/>
  </r>
  <r>
    <x v="2"/>
    <d v="2021-04-05T00:00:00"/>
    <d v="2021-04-26T00:00:00"/>
    <x v="4"/>
    <n v="9"/>
    <n v="31"/>
    <n v="1.1251790663222052"/>
    <n v="1.3376212393608571"/>
    <n v="41.46625842018657"/>
    <n v="34.880551055988363"/>
    <n v="6.5857073641982069"/>
    <n v="0.20519752502391295"/>
    <n v="6.7909048892221202"/>
    <n v="0"/>
    <n v="0"/>
    <n v="0"/>
    <n v="6.7909048892221202"/>
  </r>
  <r>
    <x v="3"/>
    <d v="2021-05-05T00:00:00"/>
    <d v="2021-05-24T00:00:00"/>
    <x v="4"/>
    <n v="9"/>
    <n v="20"/>
    <n v="1.1251790663222052"/>
    <n v="1.3376212393608571"/>
    <n v="26.752424787217141"/>
    <n v="22.503581326444106"/>
    <n v="4.2488434607730348"/>
    <n v="0.1323855000154277"/>
    <n v="4.3812289607884622"/>
    <n v="0"/>
    <n v="0"/>
    <n v="0"/>
    <n v="4.3812289607884622"/>
  </r>
  <r>
    <x v="4"/>
    <d v="2021-06-03T00:00:00"/>
    <d v="2021-06-24T00:00:00"/>
    <x v="4"/>
    <n v="9"/>
    <n v="28"/>
    <n v="1.1251790663222052"/>
    <n v="1.3376212393608571"/>
    <n v="37.453394702103999"/>
    <n v="31.505013857021744"/>
    <n v="5.9483808450822551"/>
    <n v="0.1853397000215988"/>
    <n v="6.1337205451038539"/>
    <n v="0"/>
    <n v="0"/>
    <n v="0"/>
    <n v="6.1337205451038539"/>
  </r>
  <r>
    <x v="5"/>
    <d v="2021-07-06T00:00:00"/>
    <d v="2021-07-24T00:00:00"/>
    <x v="4"/>
    <n v="9"/>
    <n v="45"/>
    <n v="1.1251790663222052"/>
    <n v="1.3376212393608571"/>
    <n v="60.192955771238566"/>
    <n v="50.633057984499231"/>
    <n v="9.5598977867393344"/>
    <n v="0.29786737503471233"/>
    <n v="9.8577651617740472"/>
    <n v="0"/>
    <n v="0"/>
    <n v="0"/>
    <n v="9.8577651617740472"/>
  </r>
  <r>
    <x v="6"/>
    <d v="2021-08-04T00:00:00"/>
    <d v="2021-08-24T00:00:00"/>
    <x v="4"/>
    <n v="9"/>
    <n v="53"/>
    <n v="1.1251790663222052"/>
    <n v="1.3376212393608571"/>
    <n v="70.893925686125428"/>
    <n v="59.634490515076877"/>
    <n v="11.259435171048551"/>
    <n v="0.35082157504088346"/>
    <n v="11.610256746089435"/>
    <n v="0"/>
    <n v="0"/>
    <n v="0"/>
    <n v="11.610256746089435"/>
  </r>
  <r>
    <x v="7"/>
    <d v="2021-09-03T00:00:00"/>
    <d v="2021-09-24T00:00:00"/>
    <x v="4"/>
    <n v="9"/>
    <n v="50"/>
    <n v="1.1251790663222052"/>
    <n v="1.3376212393608571"/>
    <n v="66.881061968042857"/>
    <n v="56.258953316110258"/>
    <n v="10.622108651932599"/>
    <n v="0.33096375003856932"/>
    <n v="10.953072401971168"/>
    <n v="0"/>
    <n v="0"/>
    <n v="0"/>
    <n v="10.953072401971168"/>
  </r>
  <r>
    <x v="8"/>
    <d v="2021-10-05T00:00:00"/>
    <d v="2021-10-25T00:00:00"/>
    <x v="4"/>
    <n v="9"/>
    <n v="49"/>
    <n v="1.1251790663222052"/>
    <n v="1.3376212393608571"/>
    <n v="65.543440728682"/>
    <n v="55.133774249788054"/>
    <n v="10.409666478893946"/>
    <n v="0.3243444750377979"/>
    <n v="10.734010953931744"/>
    <n v="0"/>
    <n v="0"/>
    <n v="0"/>
    <n v="10.734010953931744"/>
  </r>
  <r>
    <x v="9"/>
    <d v="2021-11-03T00:00:00"/>
    <d v="2021-11-24T00:00:00"/>
    <x v="4"/>
    <n v="9"/>
    <n v="38"/>
    <n v="1.1251790663222052"/>
    <n v="1.3376212393608571"/>
    <n v="50.829607095712568"/>
    <n v="42.756804520243797"/>
    <n v="8.0728025754687707"/>
    <n v="0.25153245002931263"/>
    <n v="8.3243350254980832"/>
    <n v="0"/>
    <n v="0"/>
    <n v="0"/>
    <n v="8.3243350254980832"/>
  </r>
  <r>
    <x v="10"/>
    <d v="2021-12-03T00:00:00"/>
    <d v="2021-12-27T00:00:00"/>
    <x v="4"/>
    <n v="9"/>
    <n v="32"/>
    <n v="1.1251790663222052"/>
    <n v="1.3376212393608571"/>
    <n v="42.803879659547427"/>
    <n v="36.005730122310567"/>
    <n v="6.7981495372368599"/>
    <n v="0.21181680002468434"/>
    <n v="7.0099663372615444"/>
    <n v="0"/>
    <n v="0"/>
    <n v="0"/>
    <n v="7.0099663372615444"/>
  </r>
  <r>
    <x v="11"/>
    <d v="2022-01-05T00:00:00"/>
    <d v="2022-01-24T00:00:00"/>
    <x v="4"/>
    <n v="9"/>
    <n v="31"/>
    <n v="1.1251790663222052"/>
    <n v="1.3376212393608571"/>
    <n v="41.46625842018657"/>
    <n v="34.880551055988363"/>
    <n v="6.5857073641982069"/>
    <n v="0.20519752502391295"/>
    <n v="6.7909048892221202"/>
    <n v="0"/>
    <n v="0"/>
    <n v="0"/>
    <n v="6.7909048892221202"/>
  </r>
  <r>
    <x v="0"/>
    <d v="2021-02-03T00:00:00"/>
    <d v="2021-02-24T00:00:00"/>
    <x v="5"/>
    <n v="9"/>
    <n v="43"/>
    <n v="1.1251790663222052"/>
    <n v="1.3376212393608571"/>
    <n v="57.517713292516852"/>
    <n v="48.382699851854824"/>
    <n v="9.1350134406620285"/>
    <n v="0.28462882503316955"/>
    <n v="9.4196422656951988"/>
    <n v="0"/>
    <n v="0"/>
    <n v="0"/>
    <n v="9.4196422656951988"/>
  </r>
  <r>
    <x v="1"/>
    <d v="2021-03-03T00:00:00"/>
    <d v="2021-03-24T00:00:00"/>
    <x v="5"/>
    <n v="9"/>
    <n v="48"/>
    <n v="1.1251790663222052"/>
    <n v="1.3376212393608571"/>
    <n v="64.205819489321144"/>
    <n v="54.00859518346585"/>
    <n v="10.197224305855293"/>
    <n v="0.31772520003702648"/>
    <n v="10.51494950589232"/>
    <n v="0"/>
    <n v="0"/>
    <n v="0"/>
    <n v="10.51494950589232"/>
  </r>
  <r>
    <x v="2"/>
    <d v="2021-04-05T00:00:00"/>
    <d v="2021-04-26T00:00:00"/>
    <x v="5"/>
    <n v="9"/>
    <n v="35"/>
    <n v="1.1251790663222052"/>
    <n v="1.3376212393608571"/>
    <n v="46.816743377629997"/>
    <n v="39.381267321277186"/>
    <n v="7.4354760563528117"/>
    <n v="0.23167462502699851"/>
    <n v="7.6671506813798098"/>
    <n v="0"/>
    <n v="0"/>
    <n v="0"/>
    <n v="7.6671506813798098"/>
  </r>
  <r>
    <x v="3"/>
    <d v="2021-05-05T00:00:00"/>
    <d v="2021-05-24T00:00:00"/>
    <x v="5"/>
    <n v="9"/>
    <n v="29"/>
    <n v="1.1251790663222052"/>
    <n v="1.3376212393608571"/>
    <n v="38.791015941464856"/>
    <n v="32.630192923343948"/>
    <n v="6.160823018120908"/>
    <n v="0.19195897502237019"/>
    <n v="6.3527819931432781"/>
    <n v="0"/>
    <n v="0"/>
    <n v="0"/>
    <n v="6.3527819931432781"/>
  </r>
  <r>
    <x v="4"/>
    <d v="2021-06-03T00:00:00"/>
    <d v="2021-06-24T00:00:00"/>
    <x v="5"/>
    <n v="9"/>
    <n v="34"/>
    <n v="1.1251790663222052"/>
    <n v="1.3376212393608571"/>
    <n v="45.47912213826914"/>
    <n v="38.256088254954975"/>
    <n v="7.2230338833141658"/>
    <n v="0.22505535002622712"/>
    <n v="7.4480892333403927"/>
    <n v="0"/>
    <n v="0"/>
    <n v="0"/>
    <n v="7.4480892333403927"/>
  </r>
  <r>
    <x v="5"/>
    <d v="2021-07-06T00:00:00"/>
    <d v="2021-07-24T00:00:00"/>
    <x v="5"/>
    <n v="9"/>
    <n v="45"/>
    <n v="1.1251790663222052"/>
    <n v="1.3376212393608571"/>
    <n v="60.192955771238566"/>
    <n v="50.633057984499231"/>
    <n v="9.5598977867393344"/>
    <n v="0.29786737503471233"/>
    <n v="9.8577651617740472"/>
    <n v="0"/>
    <n v="0"/>
    <n v="0"/>
    <n v="9.8577651617740472"/>
  </r>
  <r>
    <x v="6"/>
    <d v="2021-08-04T00:00:00"/>
    <d v="2021-08-24T00:00:00"/>
    <x v="5"/>
    <n v="9"/>
    <n v="48"/>
    <n v="1.1251790663222052"/>
    <n v="1.3376212393608571"/>
    <n v="64.205819489321144"/>
    <n v="54.00859518346585"/>
    <n v="10.197224305855293"/>
    <n v="0.31772520003702648"/>
    <n v="10.51494950589232"/>
    <n v="0"/>
    <n v="0"/>
    <n v="0"/>
    <n v="10.51494950589232"/>
  </r>
  <r>
    <x v="7"/>
    <d v="2021-09-03T00:00:00"/>
    <d v="2021-09-24T00:00:00"/>
    <x v="5"/>
    <n v="9"/>
    <n v="46"/>
    <n v="1.1251790663222052"/>
    <n v="1.3376212393608571"/>
    <n v="61.530577010599423"/>
    <n v="51.758237050821442"/>
    <n v="9.7723399597779803"/>
    <n v="0.30448665003548375"/>
    <n v="10.076826609813464"/>
    <n v="0"/>
    <n v="0"/>
    <n v="0"/>
    <n v="10.076826609813464"/>
  </r>
  <r>
    <x v="8"/>
    <d v="2021-10-05T00:00:00"/>
    <d v="2021-10-25T00:00:00"/>
    <x v="5"/>
    <n v="9"/>
    <n v="46"/>
    <n v="1.1251790663222052"/>
    <n v="1.3376212393608571"/>
    <n v="61.530577010599423"/>
    <n v="51.758237050821442"/>
    <n v="9.7723399597779803"/>
    <n v="0.30448665003548375"/>
    <n v="10.076826609813464"/>
    <n v="0"/>
    <n v="0"/>
    <n v="0"/>
    <n v="10.076826609813464"/>
  </r>
  <r>
    <x v="9"/>
    <d v="2021-11-03T00:00:00"/>
    <d v="2021-11-24T00:00:00"/>
    <x v="5"/>
    <n v="9"/>
    <n v="41"/>
    <n v="1.1251790663222052"/>
    <n v="1.3376212393608571"/>
    <n v="54.842470813795138"/>
    <n v="46.132341719210416"/>
    <n v="8.7101290945847225"/>
    <n v="0.27139027503162677"/>
    <n v="8.9815193696163487"/>
    <n v="0"/>
    <n v="0"/>
    <n v="0"/>
    <n v="8.9815193696163487"/>
  </r>
  <r>
    <x v="10"/>
    <d v="2021-12-03T00:00:00"/>
    <d v="2021-12-27T00:00:00"/>
    <x v="5"/>
    <n v="9"/>
    <n v="40"/>
    <n v="1.1251790663222052"/>
    <n v="1.3376212393608571"/>
    <n v="53.504849574434282"/>
    <n v="45.007162652888212"/>
    <n v="8.4976869215460695"/>
    <n v="0.26477100003085541"/>
    <n v="8.7624579215769245"/>
    <n v="0"/>
    <n v="0"/>
    <n v="0"/>
    <n v="8.7624579215769245"/>
  </r>
  <r>
    <x v="11"/>
    <d v="2022-01-05T00:00:00"/>
    <d v="2022-01-24T00:00:00"/>
    <x v="5"/>
    <n v="9"/>
    <n v="39"/>
    <n v="1.1251790663222052"/>
    <n v="1.3376212393608571"/>
    <n v="52.167228335073425"/>
    <n v="43.881983586566001"/>
    <n v="8.2852447485074237"/>
    <n v="0.25815172503008404"/>
    <n v="8.5433964735375074"/>
    <n v="0"/>
    <n v="0"/>
    <n v="0"/>
    <n v="8.5433964735375074"/>
  </r>
  <r>
    <x v="0"/>
    <d v="2021-02-03T00:00:00"/>
    <d v="2021-02-24T00:00:00"/>
    <x v="6"/>
    <n v="9"/>
    <n v="76"/>
    <n v="1.1251790663222052"/>
    <n v="1.3376212393608571"/>
    <n v="101.65921419142514"/>
    <n v="85.513609040487594"/>
    <n v="16.145605150937541"/>
    <n v="0.50306490005862525"/>
    <n v="16.648670050996166"/>
    <n v="0"/>
    <n v="0"/>
    <n v="0"/>
    <n v="16.648670050996166"/>
  </r>
  <r>
    <x v="1"/>
    <d v="2021-03-03T00:00:00"/>
    <d v="2021-03-24T00:00:00"/>
    <x v="6"/>
    <n v="9"/>
    <n v="99"/>
    <n v="1.1251790663222052"/>
    <n v="1.3376212393608571"/>
    <n v="132.42450269672486"/>
    <n v="111.39272756589831"/>
    <n v="21.031775130826546"/>
    <n v="0.65530822507636721"/>
    <n v="21.687083355902914"/>
    <n v="0"/>
    <n v="0"/>
    <n v="0"/>
    <n v="21.687083355902914"/>
  </r>
  <r>
    <x v="2"/>
    <d v="2021-04-05T00:00:00"/>
    <d v="2021-04-26T00:00:00"/>
    <x v="6"/>
    <n v="9"/>
    <n v="66"/>
    <n v="1.1251790663222052"/>
    <n v="1.3376212393608571"/>
    <n v="88.283001797816567"/>
    <n v="74.261818377265541"/>
    <n v="14.021183420551026"/>
    <n v="0.4368721500509114"/>
    <n v="14.458055570601937"/>
    <n v="0"/>
    <n v="0"/>
    <n v="0"/>
    <n v="14.458055570601937"/>
  </r>
  <r>
    <x v="3"/>
    <d v="2021-05-05T00:00:00"/>
    <d v="2021-05-24T00:00:00"/>
    <x v="6"/>
    <n v="9"/>
    <n v="67"/>
    <n v="1.1251790663222052"/>
    <n v="1.3376212393608571"/>
    <n v="89.620623037177424"/>
    <n v="75.386997443587745"/>
    <n v="14.233625593589679"/>
    <n v="0.44349142505168282"/>
    <n v="14.677117018641361"/>
    <n v="0"/>
    <n v="0"/>
    <n v="0"/>
    <n v="14.677117018641361"/>
  </r>
  <r>
    <x v="4"/>
    <d v="2021-06-03T00:00:00"/>
    <d v="2021-06-24T00:00:00"/>
    <x v="6"/>
    <n v="9"/>
    <n v="101"/>
    <n v="1.1251790663222052"/>
    <n v="1.3376212393608571"/>
    <n v="135.09974517544657"/>
    <n v="113.64308569854272"/>
    <n v="21.456659476903852"/>
    <n v="0.66854677507790994"/>
    <n v="22.125206251981762"/>
    <n v="0"/>
    <n v="0"/>
    <n v="0"/>
    <n v="22.125206251981762"/>
  </r>
  <r>
    <x v="5"/>
    <d v="2021-07-06T00:00:00"/>
    <d v="2021-07-24T00:00:00"/>
    <x v="6"/>
    <n v="9"/>
    <n v="141"/>
    <n v="1.1251790663222052"/>
    <n v="1.3376212393608571"/>
    <n v="188.60459474988085"/>
    <n v="158.65024835143095"/>
    <n v="29.9543463984499"/>
    <n v="0.93331777510876546"/>
    <n v="30.887664173558665"/>
    <n v="0"/>
    <n v="0"/>
    <n v="0"/>
    <n v="30.887664173558665"/>
  </r>
  <r>
    <x v="6"/>
    <d v="2021-08-04T00:00:00"/>
    <d v="2021-08-24T00:00:00"/>
    <x v="6"/>
    <n v="9"/>
    <n v="145"/>
    <n v="1.1251790663222052"/>
    <n v="1.3376212393608571"/>
    <n v="193.95507970732427"/>
    <n v="163.15096461671976"/>
    <n v="30.804115090604512"/>
    <n v="0.95979487511185091"/>
    <n v="31.763909965716362"/>
    <n v="0"/>
    <n v="0"/>
    <n v="0"/>
    <n v="31.763909965716362"/>
  </r>
  <r>
    <x v="7"/>
    <d v="2021-09-03T00:00:00"/>
    <d v="2021-09-24T00:00:00"/>
    <x v="6"/>
    <n v="9"/>
    <n v="149"/>
    <n v="1.1251790663222052"/>
    <n v="1.3376212393608571"/>
    <n v="199.3055646647677"/>
    <n v="167.65168088200858"/>
    <n v="31.653883782759124"/>
    <n v="0.98627197511493647"/>
    <n v="32.640155757874062"/>
    <n v="0"/>
    <n v="0"/>
    <n v="0"/>
    <n v="32.640155757874062"/>
  </r>
  <r>
    <x v="8"/>
    <d v="2021-10-05T00:00:00"/>
    <d v="2021-10-25T00:00:00"/>
    <x v="6"/>
    <n v="9"/>
    <n v="150"/>
    <n v="1.1251790663222052"/>
    <n v="1.3376212393608571"/>
    <n v="200.64318590412856"/>
    <n v="168.77685994833078"/>
    <n v="31.866325955797777"/>
    <n v="0.99289125011570789"/>
    <n v="32.859217205913481"/>
    <n v="0"/>
    <n v="0"/>
    <n v="0"/>
    <n v="32.859217205913481"/>
  </r>
  <r>
    <x v="9"/>
    <d v="2021-11-03T00:00:00"/>
    <d v="2021-11-24T00:00:00"/>
    <x v="6"/>
    <n v="9"/>
    <n v="114"/>
    <n v="1.1251790663222052"/>
    <n v="1.3376212393608571"/>
    <n v="152.48882128713771"/>
    <n v="128.27041356073138"/>
    <n v="24.218407726406326"/>
    <n v="0.75459735008793793"/>
    <n v="24.973005076494264"/>
    <n v="0"/>
    <n v="0"/>
    <n v="0"/>
    <n v="24.973005076494264"/>
  </r>
  <r>
    <x v="10"/>
    <d v="2021-12-03T00:00:00"/>
    <d v="2021-12-27T00:00:00"/>
    <x v="6"/>
    <n v="9"/>
    <n v="66"/>
    <n v="1.1251790663222052"/>
    <n v="1.3376212393608571"/>
    <n v="88.283001797816567"/>
    <n v="74.261818377265541"/>
    <n v="14.021183420551026"/>
    <n v="0.4368721500509114"/>
    <n v="14.458055570601937"/>
    <n v="0"/>
    <n v="0"/>
    <n v="0"/>
    <n v="14.458055570601937"/>
  </r>
  <r>
    <x v="11"/>
    <d v="2022-01-05T00:00:00"/>
    <d v="2022-01-24T00:00:00"/>
    <x v="6"/>
    <n v="9"/>
    <n v="72"/>
    <n v="1.1251790663222052"/>
    <n v="1.3376212393608571"/>
    <n v="96.308729233981708"/>
    <n v="81.012892775198779"/>
    <n v="15.295836458782929"/>
    <n v="0.4765878000555398"/>
    <n v="15.77242425883847"/>
    <n v="0"/>
    <n v="0"/>
    <n v="0"/>
    <n v="15.77242425883847"/>
  </r>
  <r>
    <x v="0"/>
    <d v="2021-02-03T00:00:00"/>
    <d v="2021-02-24T00:00:00"/>
    <x v="7"/>
    <n v="9"/>
    <n v="37"/>
    <n v="1.1251790663222052"/>
    <n v="1.3376212393608571"/>
    <n v="49.491985856351711"/>
    <n v="41.631625453921593"/>
    <n v="7.8603604024301177"/>
    <n v="0.24491317502854126"/>
    <n v="8.1052735774586591"/>
    <n v="0"/>
    <n v="0"/>
    <n v="0"/>
    <n v="8.1052735774586591"/>
  </r>
  <r>
    <x v="1"/>
    <d v="2021-03-03T00:00:00"/>
    <d v="2021-03-24T00:00:00"/>
    <x v="7"/>
    <n v="9"/>
    <n v="33"/>
    <n v="1.1251790663222052"/>
    <n v="1.3376212393608571"/>
    <n v="44.141500898908284"/>
    <n v="37.130909188632771"/>
    <n v="7.0105917102755129"/>
    <n v="0.2184360750254557"/>
    <n v="7.2290277853009686"/>
    <n v="0"/>
    <n v="0"/>
    <n v="0"/>
    <n v="7.2290277853009686"/>
  </r>
  <r>
    <x v="2"/>
    <d v="2021-04-05T00:00:00"/>
    <d v="2021-04-26T00:00:00"/>
    <x v="7"/>
    <n v="9"/>
    <n v="47"/>
    <n v="1.1251790663222052"/>
    <n v="1.3376212393608571"/>
    <n v="62.86819824996028"/>
    <n v="52.883416117143646"/>
    <n v="9.9847821328166333"/>
    <n v="0.31110592503625512"/>
    <n v="10.295888057852888"/>
    <n v="0"/>
    <n v="0"/>
    <n v="0"/>
    <n v="10.295888057852888"/>
  </r>
  <r>
    <x v="3"/>
    <d v="2021-05-05T00:00:00"/>
    <d v="2021-05-24T00:00:00"/>
    <x v="7"/>
    <n v="9"/>
    <n v="39"/>
    <n v="1.1251790663222052"/>
    <n v="1.3376212393608571"/>
    <n v="52.167228335073425"/>
    <n v="43.881983586566001"/>
    <n v="8.2852447485074237"/>
    <n v="0.25815172503008404"/>
    <n v="8.5433964735375074"/>
    <n v="0"/>
    <n v="0"/>
    <n v="0"/>
    <n v="8.5433964735375074"/>
  </r>
  <r>
    <x v="4"/>
    <d v="2021-06-03T00:00:00"/>
    <d v="2021-06-24T00:00:00"/>
    <x v="7"/>
    <n v="9"/>
    <n v="46"/>
    <n v="1.1251790663222052"/>
    <n v="1.3376212393608571"/>
    <n v="61.530577010599423"/>
    <n v="51.758237050821442"/>
    <n v="9.7723399597779803"/>
    <n v="0.30448665003548375"/>
    <n v="10.076826609813464"/>
    <n v="0"/>
    <n v="0"/>
    <n v="0"/>
    <n v="10.076826609813464"/>
  </r>
  <r>
    <x v="5"/>
    <d v="2021-07-06T00:00:00"/>
    <d v="2021-07-24T00:00:00"/>
    <x v="7"/>
    <n v="9"/>
    <n v="51"/>
    <n v="1.1251790663222052"/>
    <n v="1.3376212393608571"/>
    <n v="68.218683207403714"/>
    <n v="57.384132382432469"/>
    <n v="10.834550824971245"/>
    <n v="0.33758302503934068"/>
    <n v="11.172133850010585"/>
    <n v="0"/>
    <n v="0"/>
    <n v="0"/>
    <n v="11.172133850010585"/>
  </r>
  <r>
    <x v="6"/>
    <d v="2021-08-04T00:00:00"/>
    <d v="2021-08-24T00:00:00"/>
    <x v="7"/>
    <n v="9"/>
    <n v="46"/>
    <n v="1.1251790663222052"/>
    <n v="1.3376212393608571"/>
    <n v="61.530577010599423"/>
    <n v="51.758237050821442"/>
    <n v="9.7723399597779803"/>
    <n v="0.30448665003548375"/>
    <n v="10.076826609813464"/>
    <n v="0"/>
    <n v="0"/>
    <n v="0"/>
    <n v="10.076826609813464"/>
  </r>
  <r>
    <x v="7"/>
    <d v="2021-09-03T00:00:00"/>
    <d v="2021-09-24T00:00:00"/>
    <x v="7"/>
    <n v="9"/>
    <n v="50"/>
    <n v="1.1251790663222052"/>
    <n v="1.3376212393608571"/>
    <n v="66.881061968042857"/>
    <n v="56.258953316110258"/>
    <n v="10.622108651932599"/>
    <n v="0.33096375003856932"/>
    <n v="10.953072401971168"/>
    <n v="0"/>
    <n v="0"/>
    <n v="0"/>
    <n v="10.953072401971168"/>
  </r>
  <r>
    <x v="8"/>
    <d v="2021-10-05T00:00:00"/>
    <d v="2021-10-25T00:00:00"/>
    <x v="7"/>
    <n v="9"/>
    <n v="45"/>
    <n v="1.1251790663222052"/>
    <n v="1.3376212393608571"/>
    <n v="60.192955771238566"/>
    <n v="50.633057984499231"/>
    <n v="9.5598977867393344"/>
    <n v="0.29786737503471233"/>
    <n v="9.8577651617740472"/>
    <n v="0"/>
    <n v="0"/>
    <n v="0"/>
    <n v="9.8577651617740472"/>
  </r>
  <r>
    <x v="9"/>
    <d v="2021-11-03T00:00:00"/>
    <d v="2021-11-24T00:00:00"/>
    <x v="7"/>
    <n v="9"/>
    <n v="46"/>
    <n v="1.1251790663222052"/>
    <n v="1.3376212393608571"/>
    <n v="61.530577010599423"/>
    <n v="51.758237050821442"/>
    <n v="9.7723399597779803"/>
    <n v="0.30448665003548375"/>
    <n v="10.076826609813464"/>
    <n v="0"/>
    <n v="0"/>
    <n v="0"/>
    <n v="10.076826609813464"/>
  </r>
  <r>
    <x v="10"/>
    <d v="2021-12-03T00:00:00"/>
    <d v="2021-12-27T00:00:00"/>
    <x v="7"/>
    <n v="9"/>
    <n v="48"/>
    <n v="1.1251790663222052"/>
    <n v="1.3376212393608571"/>
    <n v="64.205819489321144"/>
    <n v="54.00859518346585"/>
    <n v="10.197224305855293"/>
    <n v="0.31772520003702648"/>
    <n v="10.51494950589232"/>
    <n v="0"/>
    <n v="0"/>
    <n v="0"/>
    <n v="10.51494950589232"/>
  </r>
  <r>
    <x v="11"/>
    <d v="2022-01-05T00:00:00"/>
    <d v="2022-01-24T00:00:00"/>
    <x v="7"/>
    <n v="9"/>
    <n v="42"/>
    <n v="1.1251790663222052"/>
    <n v="1.3376212393608571"/>
    <n v="56.180092053155995"/>
    <n v="47.25752078553262"/>
    <n v="8.9225712676233755"/>
    <n v="0.27800955003239819"/>
    <n v="9.2005808176557728"/>
    <n v="0"/>
    <n v="0"/>
    <n v="0"/>
    <n v="9.2005808176557728"/>
  </r>
  <r>
    <x v="0"/>
    <d v="2021-02-03T00:00:00"/>
    <d v="2021-02-24T00:00:00"/>
    <x v="8"/>
    <n v="9"/>
    <n v="973"/>
    <n v="1.1251790663222052"/>
    <n v="1.3376212393608571"/>
    <n v="1301.5054658981139"/>
    <n v="1094.7992315315057"/>
    <n v="206.70623436660821"/>
    <n v="6.440554575750558"/>
    <n v="213.14678894235877"/>
    <n v="0"/>
    <n v="0"/>
    <n v="0"/>
    <n v="213.14678894235877"/>
  </r>
  <r>
    <x v="1"/>
    <d v="2021-03-03T00:00:00"/>
    <d v="2021-03-24T00:00:00"/>
    <x v="8"/>
    <n v="9"/>
    <n v="1338"/>
    <n v="1.1251790663222052"/>
    <n v="1.3376212393608571"/>
    <n v="1789.7372182648269"/>
    <n v="1505.4895907391106"/>
    <n v="284.24762752571633"/>
    <n v="8.8565899510321149"/>
    <n v="293.10421747674843"/>
    <n v="0"/>
    <n v="0"/>
    <n v="0"/>
    <n v="293.10421747674843"/>
  </r>
  <r>
    <x v="2"/>
    <d v="2021-04-05T00:00:00"/>
    <d v="2021-04-26T00:00:00"/>
    <x v="8"/>
    <n v="9"/>
    <n v="790"/>
    <n v="1.1251790663222052"/>
    <n v="1.3376212393608571"/>
    <n v="1056.7207790950772"/>
    <n v="888.89146239454215"/>
    <n v="167.82931670053506"/>
    <n v="5.2292272506093944"/>
    <n v="173.05854395114446"/>
    <n v="0"/>
    <n v="0"/>
    <n v="0"/>
    <n v="173.05854395114446"/>
  </r>
  <r>
    <x v="3"/>
    <d v="2021-05-05T00:00:00"/>
    <d v="2021-05-24T00:00:00"/>
    <x v="8"/>
    <n v="9"/>
    <n v="565"/>
    <n v="1.1251790663222052"/>
    <n v="1.3376212393608571"/>
    <n v="755.75600023888421"/>
    <n v="635.72617247204596"/>
    <n v="120.02982776683825"/>
    <n v="3.7398903754358326"/>
    <n v="123.76971814227409"/>
    <n v="0"/>
    <n v="0"/>
    <n v="0"/>
    <n v="123.76971814227409"/>
  </r>
  <r>
    <x v="4"/>
    <d v="2021-06-03T00:00:00"/>
    <d v="2021-06-24T00:00:00"/>
    <x v="8"/>
    <n v="9"/>
    <n v="636"/>
    <n v="1.1251790663222052"/>
    <n v="1.3376212393608571"/>
    <n v="850.72710823350508"/>
    <n v="715.61388618092246"/>
    <n v="135.11322205258261"/>
    <n v="4.2098589004906009"/>
    <n v="139.3230809530732"/>
    <n v="0"/>
    <n v="0"/>
    <n v="0"/>
    <n v="139.3230809530732"/>
  </r>
  <r>
    <x v="5"/>
    <d v="2021-07-06T00:00:00"/>
    <d v="2021-07-24T00:00:00"/>
    <x v="8"/>
    <n v="9"/>
    <n v="845"/>
    <n v="1.1251790663222052"/>
    <n v="1.3376212393608571"/>
    <n v="1130.2899472599242"/>
    <n v="950.77631104226339"/>
    <n v="179.51363621766086"/>
    <n v="5.5932873756518209"/>
    <n v="185.10692359331267"/>
    <n v="0"/>
    <n v="0"/>
    <n v="0"/>
    <n v="185.10692359331267"/>
  </r>
  <r>
    <x v="6"/>
    <d v="2021-08-04T00:00:00"/>
    <d v="2021-08-24T00:00:00"/>
    <x v="8"/>
    <n v="9"/>
    <n v="897"/>
    <n v="1.1251790663222052"/>
    <n v="1.3376212393608571"/>
    <n v="1199.8462517066889"/>
    <n v="1009.2856224910181"/>
    <n v="190.56062921567082"/>
    <n v="5.9374896756919329"/>
    <n v="196.49811889136274"/>
    <n v="0"/>
    <n v="0"/>
    <n v="0"/>
    <n v="196.49811889136274"/>
  </r>
  <r>
    <x v="7"/>
    <d v="2021-09-03T00:00:00"/>
    <d v="2021-09-24T00:00:00"/>
    <x v="8"/>
    <n v="9"/>
    <n v="899"/>
    <n v="1.1251790663222052"/>
    <n v="1.3376212393608571"/>
    <n v="1202.5214941854106"/>
    <n v="1011.5359806236625"/>
    <n v="190.98551356174812"/>
    <n v="5.9507282256934761"/>
    <n v="196.93624178744159"/>
    <n v="0"/>
    <n v="0"/>
    <n v="0"/>
    <n v="196.93624178744159"/>
  </r>
  <r>
    <x v="8"/>
    <d v="2021-10-05T00:00:00"/>
    <d v="2021-10-25T00:00:00"/>
    <x v="8"/>
    <n v="9"/>
    <n v="904"/>
    <n v="1.1251790663222052"/>
    <n v="1.3376212393608571"/>
    <n v="1209.2096003822148"/>
    <n v="1017.1618759552736"/>
    <n v="192.04772442694127"/>
    <n v="5.983824600697333"/>
    <n v="198.03154902763862"/>
    <n v="0"/>
    <n v="0"/>
    <n v="0"/>
    <n v="198.03154902763862"/>
  </r>
  <r>
    <x v="9"/>
    <d v="2021-11-03T00:00:00"/>
    <d v="2021-11-24T00:00:00"/>
    <x v="8"/>
    <n v="9"/>
    <n v="685"/>
    <n v="1.1251790663222052"/>
    <n v="1.3376212393608571"/>
    <n v="916.27054896218715"/>
    <n v="770.74766043071054"/>
    <n v="145.52288853147661"/>
    <n v="4.5342033755283992"/>
    <n v="150.057091907005"/>
    <n v="0"/>
    <n v="0"/>
    <n v="0"/>
    <n v="150.057091907005"/>
  </r>
  <r>
    <x v="10"/>
    <d v="2021-12-03T00:00:00"/>
    <d v="2021-12-27T00:00:00"/>
    <x v="8"/>
    <n v="9"/>
    <n v="718"/>
    <n v="1.1251790663222052"/>
    <n v="1.3376212393608571"/>
    <n v="960.4120498610954"/>
    <n v="807.87856961934335"/>
    <n v="152.53348024175205"/>
    <n v="4.7526394505538549"/>
    <n v="157.2861196923059"/>
    <n v="0"/>
    <n v="0"/>
    <n v="0"/>
    <n v="157.2861196923059"/>
  </r>
  <r>
    <x v="11"/>
    <d v="2022-01-05T00:00:00"/>
    <d v="2022-01-24T00:00:00"/>
    <x v="8"/>
    <n v="9"/>
    <n v="770"/>
    <n v="1.1251790663222052"/>
    <n v="1.3376212393608571"/>
    <n v="1029.96835430786"/>
    <n v="866.38788106809807"/>
    <n v="163.58047323976189"/>
    <n v="5.0968417505939669"/>
    <n v="168.67731499035585"/>
    <n v="0"/>
    <n v="0"/>
    <n v="0"/>
    <n v="168.67731499035585"/>
  </r>
  <r>
    <x v="0"/>
    <d v="2021-02-03T00:00:00"/>
    <d v="2021-02-24T00:00:00"/>
    <x v="9"/>
    <n v="9"/>
    <n v="7"/>
    <n v="1.1251790663222052"/>
    <n v="1.3376212393608571"/>
    <n v="9.3633486755259998"/>
    <n v="7.876253464255436"/>
    <n v="1.4870952112705638"/>
    <n v="4.6334925005399701E-2"/>
    <n v="1.5334301362759635"/>
    <n v="0"/>
    <n v="0"/>
    <n v="0"/>
    <n v="1.5334301362759635"/>
  </r>
  <r>
    <x v="1"/>
    <d v="2021-03-03T00:00:00"/>
    <d v="2021-03-24T00:00:00"/>
    <x v="9"/>
    <n v="9"/>
    <n v="8"/>
    <n v="1.1251790663222052"/>
    <n v="1.3376212393608571"/>
    <n v="10.700969914886857"/>
    <n v="9.0014325305776417"/>
    <n v="1.699537384309215"/>
    <n v="5.2954200006171084E-2"/>
    <n v="1.7524915843153861"/>
    <n v="0"/>
    <n v="0"/>
    <n v="0"/>
    <n v="1.7524915843153861"/>
  </r>
  <r>
    <x v="2"/>
    <d v="2021-04-05T00:00:00"/>
    <d v="2021-04-26T00:00:00"/>
    <x v="9"/>
    <n v="9"/>
    <n v="5"/>
    <n v="1.1251790663222052"/>
    <n v="1.3376212393608571"/>
    <n v="6.6881061968042852"/>
    <n v="5.6258953316110265"/>
    <n v="1.0622108651932587"/>
    <n v="3.3096375003856926E-2"/>
    <n v="1.0953072401971156"/>
    <n v="0"/>
    <n v="0"/>
    <n v="0"/>
    <n v="1.0953072401971156"/>
  </r>
  <r>
    <x v="3"/>
    <d v="2021-05-05T00:00:00"/>
    <d v="2021-05-24T00:00:00"/>
    <x v="9"/>
    <n v="9"/>
    <n v="6"/>
    <n v="1.1251790663222052"/>
    <n v="1.3376212393608571"/>
    <n v="8.0257274361651429"/>
    <n v="6.7510743979332313"/>
    <n v="1.2746530382319117"/>
    <n v="3.971565000462831E-2"/>
    <n v="1.31436868823654"/>
    <n v="0"/>
    <n v="0"/>
    <n v="0"/>
    <n v="1.31436868823654"/>
  </r>
  <r>
    <x v="4"/>
    <d v="2021-06-03T00:00:00"/>
    <d v="2021-06-24T00:00:00"/>
    <x v="9"/>
    <n v="9"/>
    <n v="4"/>
    <n v="1.1251790663222052"/>
    <n v="1.3376212393608571"/>
    <n v="5.3504849574434283"/>
    <n v="4.5007162652888208"/>
    <n v="0.84976869215460749"/>
    <n v="2.6477100003085542E-2"/>
    <n v="0.87624579215769305"/>
    <n v="0"/>
    <n v="0"/>
    <n v="0"/>
    <n v="0.87624579215769305"/>
  </r>
  <r>
    <x v="5"/>
    <d v="2021-07-06T00:00:00"/>
    <d v="2021-07-24T00:00:00"/>
    <x v="9"/>
    <n v="9"/>
    <n v="13"/>
    <n v="1.1251790663222052"/>
    <n v="1.3376212393608571"/>
    <n v="17.389076111691143"/>
    <n v="14.627327862188668"/>
    <n v="2.7617482495024746"/>
    <n v="8.605057501002801E-2"/>
    <n v="2.8477988245125028"/>
    <n v="0"/>
    <n v="0"/>
    <n v="0"/>
    <n v="2.8477988245125028"/>
  </r>
  <r>
    <x v="6"/>
    <d v="2021-08-04T00:00:00"/>
    <d v="2021-08-24T00:00:00"/>
    <x v="9"/>
    <n v="9"/>
    <n v="17"/>
    <n v="1.1251790663222052"/>
    <n v="1.3376212393608571"/>
    <n v="22.73956106913457"/>
    <n v="19.128044127477487"/>
    <n v="3.6115169416570829"/>
    <n v="0.11252767501311356"/>
    <n v="3.7240446166701964"/>
    <n v="0"/>
    <n v="0"/>
    <n v="0"/>
    <n v="3.7240446166701964"/>
  </r>
  <r>
    <x v="7"/>
    <d v="2021-09-03T00:00:00"/>
    <d v="2021-09-24T00:00:00"/>
    <x v="9"/>
    <n v="9"/>
    <n v="17"/>
    <n v="1.1251790663222052"/>
    <n v="1.3376212393608571"/>
    <n v="22.73956106913457"/>
    <n v="19.128044127477487"/>
    <n v="3.6115169416570829"/>
    <n v="0.11252767501311356"/>
    <n v="3.7240446166701964"/>
    <n v="0"/>
    <n v="0"/>
    <n v="0"/>
    <n v="3.7240446166701964"/>
  </r>
  <r>
    <x v="8"/>
    <d v="2021-10-05T00:00:00"/>
    <d v="2021-10-25T00:00:00"/>
    <x v="9"/>
    <n v="9"/>
    <n v="16"/>
    <n v="1.1251790663222052"/>
    <n v="1.3376212393608571"/>
    <n v="21.401939829773713"/>
    <n v="18.002865061155283"/>
    <n v="3.3990747686184299"/>
    <n v="0.10590840001234217"/>
    <n v="3.5049831686307722"/>
    <n v="0"/>
    <n v="0"/>
    <n v="0"/>
    <n v="3.5049831686307722"/>
  </r>
  <r>
    <x v="9"/>
    <d v="2021-11-03T00:00:00"/>
    <d v="2021-11-24T00:00:00"/>
    <x v="9"/>
    <n v="9"/>
    <n v="5"/>
    <n v="1.1251790663222052"/>
    <n v="1.3376212393608571"/>
    <n v="6.6881061968042852"/>
    <n v="5.6258953316110265"/>
    <n v="1.0622108651932587"/>
    <n v="3.3096375003856926E-2"/>
    <n v="1.0953072401971156"/>
    <n v="0"/>
    <n v="0"/>
    <n v="0"/>
    <n v="1.0953072401971156"/>
  </r>
  <r>
    <x v="10"/>
    <d v="2021-12-03T00:00:00"/>
    <d v="2021-12-27T00:00:00"/>
    <x v="9"/>
    <n v="9"/>
    <n v="5"/>
    <n v="1.1251790663222052"/>
    <n v="1.3376212393608571"/>
    <n v="6.6881061968042852"/>
    <n v="5.6258953316110265"/>
    <n v="1.0622108651932587"/>
    <n v="3.3096375003856926E-2"/>
    <n v="1.0953072401971156"/>
    <n v="0"/>
    <n v="0"/>
    <n v="0"/>
    <n v="1.0953072401971156"/>
  </r>
  <r>
    <x v="11"/>
    <d v="2022-01-05T00:00:00"/>
    <d v="2022-01-24T00:00:00"/>
    <x v="9"/>
    <n v="9"/>
    <n v="6"/>
    <n v="1.1251790663222052"/>
    <n v="1.3376212393608571"/>
    <n v="8.0257274361651429"/>
    <n v="6.7510743979332313"/>
    <n v="1.2746530382319117"/>
    <n v="3.971565000462831E-2"/>
    <n v="1.31436868823654"/>
    <n v="0"/>
    <n v="0"/>
    <n v="0"/>
    <n v="1.31436868823654"/>
  </r>
  <r>
    <x v="0"/>
    <d v="2021-02-03T00:00:00"/>
    <d v="2021-02-24T00:00:00"/>
    <x v="10"/>
    <n v="9"/>
    <n v="3"/>
    <n v="1.1251790663222052"/>
    <n v="1.3376212393608571"/>
    <n v="4.0128637180825715"/>
    <n v="3.3755371989666156"/>
    <n v="0.63732651911595584"/>
    <n v="1.9857825002314155E-2"/>
    <n v="0.65718434411826998"/>
    <n v="0"/>
    <n v="0"/>
    <n v="0"/>
    <n v="0.65718434411826998"/>
  </r>
  <r>
    <x v="1"/>
    <d v="2021-03-03T00:00:00"/>
    <d v="2021-03-24T00:00:00"/>
    <x v="10"/>
    <n v="9"/>
    <n v="5"/>
    <n v="1.1251790663222052"/>
    <n v="1.3376212393608571"/>
    <n v="6.6881061968042852"/>
    <n v="5.6258953316110265"/>
    <n v="1.0622108651932587"/>
    <n v="3.3096375003856926E-2"/>
    <n v="1.0953072401971156"/>
    <n v="0"/>
    <n v="0"/>
    <n v="0"/>
    <n v="1.0953072401971156"/>
  </r>
  <r>
    <x v="2"/>
    <d v="2021-04-05T00:00:00"/>
    <d v="2021-04-26T00:00:00"/>
    <x v="10"/>
    <n v="9"/>
    <n v="4"/>
    <n v="1.1251790663222052"/>
    <n v="1.3376212393608571"/>
    <n v="5.3504849574434283"/>
    <n v="4.5007162652888208"/>
    <n v="0.84976869215460749"/>
    <n v="2.6477100003085542E-2"/>
    <n v="0.87624579215769305"/>
    <n v="0"/>
    <n v="0"/>
    <n v="0"/>
    <n v="0.87624579215769305"/>
  </r>
  <r>
    <x v="3"/>
    <d v="2021-05-05T00:00:00"/>
    <d v="2021-05-24T00:00:00"/>
    <x v="10"/>
    <n v="9"/>
    <n v="4"/>
    <n v="1.1251790663222052"/>
    <n v="1.3376212393608571"/>
    <n v="5.3504849574434283"/>
    <n v="4.5007162652888208"/>
    <n v="0.84976869215460749"/>
    <n v="2.6477100003085542E-2"/>
    <n v="0.87624579215769305"/>
    <n v="0"/>
    <n v="0"/>
    <n v="0"/>
    <n v="0.87624579215769305"/>
  </r>
  <r>
    <x v="4"/>
    <d v="2021-06-03T00:00:00"/>
    <d v="2021-06-24T00:00:00"/>
    <x v="10"/>
    <n v="9"/>
    <n v="3"/>
    <n v="1.1251790663222052"/>
    <n v="1.3376212393608571"/>
    <n v="4.0128637180825715"/>
    <n v="3.3755371989666156"/>
    <n v="0.63732651911595584"/>
    <n v="1.9857825002314155E-2"/>
    <n v="0.65718434411826998"/>
    <n v="0"/>
    <n v="0"/>
    <n v="0"/>
    <n v="0.65718434411826998"/>
  </r>
  <r>
    <x v="5"/>
    <d v="2021-07-06T00:00:00"/>
    <d v="2021-07-24T00:00:00"/>
    <x v="10"/>
    <n v="9"/>
    <n v="5"/>
    <n v="1.1251790663222052"/>
    <n v="1.3376212393608571"/>
    <n v="6.6881061968042852"/>
    <n v="5.6258953316110265"/>
    <n v="1.0622108651932587"/>
    <n v="3.3096375003856926E-2"/>
    <n v="1.0953072401971156"/>
    <n v="0"/>
    <n v="0"/>
    <n v="0"/>
    <n v="1.0953072401971156"/>
  </r>
  <r>
    <x v="6"/>
    <d v="2021-08-04T00:00:00"/>
    <d v="2021-08-24T00:00:00"/>
    <x v="10"/>
    <n v="9"/>
    <n v="5"/>
    <n v="1.1251790663222052"/>
    <n v="1.3376212393608571"/>
    <n v="6.6881061968042852"/>
    <n v="5.6258953316110265"/>
    <n v="1.0622108651932587"/>
    <n v="3.3096375003856926E-2"/>
    <n v="1.0953072401971156"/>
    <n v="0"/>
    <n v="0"/>
    <n v="0"/>
    <n v="1.0953072401971156"/>
  </r>
  <r>
    <x v="7"/>
    <d v="2021-09-03T00:00:00"/>
    <d v="2021-09-24T00:00:00"/>
    <x v="10"/>
    <n v="9"/>
    <n v="4"/>
    <n v="1.1251790663222052"/>
    <n v="1.3376212393608571"/>
    <n v="5.3504849574434283"/>
    <n v="4.5007162652888208"/>
    <n v="0.84976869215460749"/>
    <n v="2.6477100003085542E-2"/>
    <n v="0.87624579215769305"/>
    <n v="0"/>
    <n v="0"/>
    <n v="0"/>
    <n v="0.87624579215769305"/>
  </r>
  <r>
    <x v="8"/>
    <d v="2021-10-05T00:00:00"/>
    <d v="2021-10-25T00:00:00"/>
    <x v="10"/>
    <n v="9"/>
    <n v="4"/>
    <n v="1.1251790663222052"/>
    <n v="1.3376212393608571"/>
    <n v="5.3504849574434283"/>
    <n v="4.5007162652888208"/>
    <n v="0.84976869215460749"/>
    <n v="2.6477100003085542E-2"/>
    <n v="0.87624579215769305"/>
    <n v="0"/>
    <n v="0"/>
    <n v="0"/>
    <n v="0.87624579215769305"/>
  </r>
  <r>
    <x v="9"/>
    <d v="2021-11-03T00:00:00"/>
    <d v="2021-11-24T00:00:00"/>
    <x v="10"/>
    <n v="9"/>
    <n v="4"/>
    <n v="1.1251790663222052"/>
    <n v="1.3376212393608571"/>
    <n v="5.3504849574434283"/>
    <n v="4.5007162652888208"/>
    <n v="0.84976869215460749"/>
    <n v="2.6477100003085542E-2"/>
    <n v="0.87624579215769305"/>
    <n v="0"/>
    <n v="0"/>
    <n v="0"/>
    <n v="0.87624579215769305"/>
  </r>
  <r>
    <x v="10"/>
    <d v="2021-12-03T00:00:00"/>
    <d v="2021-12-27T00:00:00"/>
    <x v="10"/>
    <n v="9"/>
    <n v="4"/>
    <n v="1.1251790663222052"/>
    <n v="1.3376212393608571"/>
    <n v="5.3504849574434283"/>
    <n v="4.5007162652888208"/>
    <n v="0.84976869215460749"/>
    <n v="2.6477100003085542E-2"/>
    <n v="0.87624579215769305"/>
    <n v="0"/>
    <n v="0"/>
    <n v="0"/>
    <n v="0.87624579215769305"/>
  </r>
  <r>
    <x v="11"/>
    <d v="2022-01-05T00:00:00"/>
    <d v="2022-01-24T00:00:00"/>
    <x v="10"/>
    <n v="9"/>
    <n v="1"/>
    <n v="1.1251790663222052"/>
    <n v="1.3376212393608571"/>
    <n v="1.3376212393608571"/>
    <n v="1.1251790663222052"/>
    <n v="0.21244217303865187"/>
    <n v="6.6192750007713855E-3"/>
    <n v="0.21906144803942326"/>
    <n v="0"/>
    <n v="0"/>
    <n v="0"/>
    <n v="0.21906144803942326"/>
  </r>
  <r>
    <x v="0"/>
    <d v="2021-02-03T00:00:00"/>
    <d v="2021-02-24T00:00:00"/>
    <x v="11"/>
    <n v="9"/>
    <n v="104"/>
    <n v="1.1251790663222052"/>
    <n v="1.3376212393608571"/>
    <n v="139.11260889352914"/>
    <n v="117.01862289750935"/>
    <n v="22.093985996019796"/>
    <n v="0.68840460008022408"/>
    <n v="22.782390596100022"/>
    <n v="0"/>
    <n v="0"/>
    <n v="0"/>
    <n v="22.782390596100022"/>
  </r>
  <r>
    <x v="1"/>
    <d v="2021-03-03T00:00:00"/>
    <d v="2021-03-24T00:00:00"/>
    <x v="11"/>
    <n v="9"/>
    <n v="133"/>
    <n v="1.1251790663222052"/>
    <n v="1.3376212393608571"/>
    <n v="177.90362483499399"/>
    <n v="149.64881582085329"/>
    <n v="28.254809014140704"/>
    <n v="0.88036357510259422"/>
    <n v="29.1351725892433"/>
    <n v="0"/>
    <n v="0"/>
    <n v="0"/>
    <n v="29.1351725892433"/>
  </r>
  <r>
    <x v="2"/>
    <d v="2021-04-05T00:00:00"/>
    <d v="2021-04-26T00:00:00"/>
    <x v="11"/>
    <n v="9"/>
    <n v="87"/>
    <n v="1.1251790663222052"/>
    <n v="1.3376212393608571"/>
    <n v="116.37304782439456"/>
    <n v="97.890578770031851"/>
    <n v="18.48246905436271"/>
    <n v="0.57587692506711052"/>
    <n v="19.05834597942982"/>
    <n v="0"/>
    <n v="0"/>
    <n v="0"/>
    <n v="19.05834597942982"/>
  </r>
  <r>
    <x v="3"/>
    <d v="2021-05-05T00:00:00"/>
    <d v="2021-05-24T00:00:00"/>
    <x v="11"/>
    <n v="9"/>
    <n v="77"/>
    <n v="1.1251790663222052"/>
    <n v="1.3376212393608571"/>
    <n v="102.99683543078599"/>
    <n v="86.638788106809798"/>
    <n v="16.358047323976194"/>
    <n v="0.50968417505939667"/>
    <n v="16.867731499035592"/>
    <n v="0"/>
    <n v="0"/>
    <n v="0"/>
    <n v="16.867731499035592"/>
  </r>
  <r>
    <x v="4"/>
    <d v="2021-06-03T00:00:00"/>
    <d v="2021-06-24T00:00:00"/>
    <x v="11"/>
    <n v="9"/>
    <n v="104"/>
    <n v="1.1251790663222052"/>
    <n v="1.3376212393608571"/>
    <n v="139.11260889352914"/>
    <n v="117.01862289750935"/>
    <n v="22.093985996019796"/>
    <n v="0.68840460008022408"/>
    <n v="22.782390596100022"/>
    <n v="0"/>
    <n v="0"/>
    <n v="0"/>
    <n v="22.782390596100022"/>
  </r>
  <r>
    <x v="5"/>
    <d v="2021-07-06T00:00:00"/>
    <d v="2021-07-24T00:00:00"/>
    <x v="11"/>
    <n v="9"/>
    <n v="144"/>
    <n v="1.1251790663222052"/>
    <n v="1.3376212393608571"/>
    <n v="192.61745846796342"/>
    <n v="162.02578555039756"/>
    <n v="30.591672917565859"/>
    <n v="0.9531756001110796"/>
    <n v="31.54484851767694"/>
    <n v="0"/>
    <n v="0"/>
    <n v="0"/>
    <n v="31.54484851767694"/>
  </r>
  <r>
    <x v="6"/>
    <d v="2021-08-04T00:00:00"/>
    <d v="2021-08-24T00:00:00"/>
    <x v="11"/>
    <n v="9"/>
    <n v="161"/>
    <n v="1.1251790663222052"/>
    <n v="1.3376212393608571"/>
    <n v="215.35701953709798"/>
    <n v="181.15382967787505"/>
    <n v="34.203189859222931"/>
    <n v="1.0657032751241931"/>
    <n v="35.268893134347124"/>
    <n v="0"/>
    <n v="0"/>
    <n v="0"/>
    <n v="35.268893134347124"/>
  </r>
  <r>
    <x v="7"/>
    <d v="2021-09-03T00:00:00"/>
    <d v="2021-09-24T00:00:00"/>
    <x v="11"/>
    <n v="9"/>
    <n v="163"/>
    <n v="1.1251790663222052"/>
    <n v="1.3376212393608571"/>
    <n v="218.0322620158197"/>
    <n v="183.40418781051946"/>
    <n v="34.628074205300237"/>
    <n v="1.0789418251257359"/>
    <n v="35.707016030425976"/>
    <n v="0"/>
    <n v="0"/>
    <n v="0"/>
    <n v="35.707016030425976"/>
  </r>
  <r>
    <x v="8"/>
    <d v="2021-10-05T00:00:00"/>
    <d v="2021-10-25T00:00:00"/>
    <x v="11"/>
    <n v="9"/>
    <n v="153"/>
    <n v="1.1251790663222052"/>
    <n v="1.3376212393608571"/>
    <n v="204.65604962221113"/>
    <n v="172.15239714729739"/>
    <n v="32.503652474913736"/>
    <n v="1.0127490751180219"/>
    <n v="33.516401550031759"/>
    <n v="0"/>
    <n v="0"/>
    <n v="0"/>
    <n v="33.516401550031759"/>
  </r>
  <r>
    <x v="9"/>
    <d v="2021-11-03T00:00:00"/>
    <d v="2021-11-24T00:00:00"/>
    <x v="11"/>
    <n v="9"/>
    <n v="117"/>
    <n v="1.1251790663222052"/>
    <n v="1.3376212393608571"/>
    <n v="156.50168500522028"/>
    <n v="131.645950759698"/>
    <n v="24.855734245522285"/>
    <n v="0.77445517509025208"/>
    <n v="25.630189420612538"/>
    <n v="0"/>
    <n v="0"/>
    <n v="0"/>
    <n v="25.630189420612538"/>
  </r>
  <r>
    <x v="10"/>
    <d v="2021-12-03T00:00:00"/>
    <d v="2021-12-27T00:00:00"/>
    <x v="11"/>
    <n v="9"/>
    <n v="91"/>
    <n v="1.1251790663222052"/>
    <n v="1.3376212393608571"/>
    <n v="121.72353278183799"/>
    <n v="102.39129503532068"/>
    <n v="19.332237746517308"/>
    <n v="0.60235402507019609"/>
    <n v="19.934591771587503"/>
    <n v="0"/>
    <n v="0"/>
    <n v="0"/>
    <n v="19.934591771587503"/>
  </r>
  <r>
    <x v="11"/>
    <d v="2022-01-05T00:00:00"/>
    <d v="2022-01-24T00:00:00"/>
    <x v="11"/>
    <n v="9"/>
    <n v="94"/>
    <n v="1.1251790663222052"/>
    <n v="1.3376212393608571"/>
    <n v="125.73639649992056"/>
    <n v="105.76683223428729"/>
    <n v="19.969564265633267"/>
    <n v="0.62221185007251023"/>
    <n v="20.591776115705777"/>
    <n v="0"/>
    <n v="0"/>
    <n v="0"/>
    <n v="20.591776115705777"/>
  </r>
  <r>
    <x v="0"/>
    <d v="2021-02-03T00:00:00"/>
    <d v="2021-02-24T00:00:00"/>
    <x v="12"/>
    <n v="9"/>
    <n v="11"/>
    <n v="1.1251790663222052"/>
    <n v="1.3376212393608571"/>
    <n v="14.713833632969427"/>
    <n v="12.376969729544257"/>
    <n v="2.3368639034251704"/>
    <n v="7.2812025008485243E-2"/>
    <n v="2.4096759284336557"/>
    <n v="0"/>
    <n v="0"/>
    <n v="0"/>
    <n v="2.4096759284336557"/>
  </r>
  <r>
    <x v="1"/>
    <d v="2021-03-03T00:00:00"/>
    <d v="2021-03-24T00:00:00"/>
    <x v="12"/>
    <n v="9"/>
    <n v="8"/>
    <n v="1.1251790663222052"/>
    <n v="1.3376212393608571"/>
    <n v="10.700969914886857"/>
    <n v="9.0014325305776417"/>
    <n v="1.699537384309215"/>
    <n v="5.2954200006171084E-2"/>
    <n v="1.7524915843153861"/>
    <n v="0"/>
    <n v="0"/>
    <n v="0"/>
    <n v="1.7524915843153861"/>
  </r>
  <r>
    <x v="2"/>
    <d v="2021-04-05T00:00:00"/>
    <d v="2021-04-26T00:00:00"/>
    <x v="12"/>
    <n v="9"/>
    <n v="7"/>
    <n v="1.1251790663222052"/>
    <n v="1.3376212393608571"/>
    <n v="9.3633486755259998"/>
    <n v="7.876253464255436"/>
    <n v="1.4870952112705638"/>
    <n v="4.6334925005399701E-2"/>
    <n v="1.5334301362759635"/>
    <n v="0"/>
    <n v="0"/>
    <n v="0"/>
    <n v="1.5334301362759635"/>
  </r>
  <r>
    <x v="3"/>
    <d v="2021-05-05T00:00:00"/>
    <d v="2021-05-24T00:00:00"/>
    <x v="12"/>
    <n v="9"/>
    <n v="12"/>
    <n v="1.1251790663222052"/>
    <n v="1.3376212393608571"/>
    <n v="16.051454872330286"/>
    <n v="13.502148795866463"/>
    <n v="2.5493060764638233"/>
    <n v="7.943130000925662E-2"/>
    <n v="2.6287373764730799"/>
    <n v="0"/>
    <n v="0"/>
    <n v="0"/>
    <n v="2.6287373764730799"/>
  </r>
  <r>
    <x v="4"/>
    <d v="2021-06-03T00:00:00"/>
    <d v="2021-06-24T00:00:00"/>
    <x v="12"/>
    <n v="9"/>
    <n v="11"/>
    <n v="1.1251790663222052"/>
    <n v="1.3376212393608571"/>
    <n v="14.713833632969427"/>
    <n v="12.376969729544257"/>
    <n v="2.3368639034251704"/>
    <n v="7.2812025008485243E-2"/>
    <n v="2.4096759284336557"/>
    <n v="0"/>
    <n v="0"/>
    <n v="0"/>
    <n v="2.4096759284336557"/>
  </r>
  <r>
    <x v="5"/>
    <d v="2021-07-06T00:00:00"/>
    <d v="2021-07-24T00:00:00"/>
    <x v="12"/>
    <n v="9"/>
    <n v="13"/>
    <n v="1.1251790663222052"/>
    <n v="1.3376212393608571"/>
    <n v="17.389076111691143"/>
    <n v="14.627327862188668"/>
    <n v="2.7617482495024746"/>
    <n v="8.605057501002801E-2"/>
    <n v="2.8477988245125028"/>
    <n v="0"/>
    <n v="0"/>
    <n v="0"/>
    <n v="2.8477988245125028"/>
  </r>
  <r>
    <x v="6"/>
    <d v="2021-08-04T00:00:00"/>
    <d v="2021-08-24T00:00:00"/>
    <x v="12"/>
    <n v="9"/>
    <n v="13"/>
    <n v="1.1251790663222052"/>
    <n v="1.3376212393608571"/>
    <n v="17.389076111691143"/>
    <n v="14.627327862188668"/>
    <n v="2.7617482495024746"/>
    <n v="8.605057501002801E-2"/>
    <n v="2.8477988245125028"/>
    <n v="0"/>
    <n v="0"/>
    <n v="0"/>
    <n v="2.8477988245125028"/>
  </r>
  <r>
    <x v="7"/>
    <d v="2021-09-03T00:00:00"/>
    <d v="2021-09-24T00:00:00"/>
    <x v="12"/>
    <n v="9"/>
    <n v="12"/>
    <n v="1.1251790663222052"/>
    <n v="1.3376212393608571"/>
    <n v="16.051454872330286"/>
    <n v="13.502148795866463"/>
    <n v="2.5493060764638233"/>
    <n v="7.943130000925662E-2"/>
    <n v="2.6287373764730799"/>
    <n v="0"/>
    <n v="0"/>
    <n v="0"/>
    <n v="2.6287373764730799"/>
  </r>
  <r>
    <x v="8"/>
    <d v="2021-10-05T00:00:00"/>
    <d v="2021-10-25T00:00:00"/>
    <x v="12"/>
    <n v="9"/>
    <n v="13"/>
    <n v="1.1251790663222052"/>
    <n v="1.3376212393608571"/>
    <n v="17.389076111691143"/>
    <n v="14.627327862188668"/>
    <n v="2.7617482495024746"/>
    <n v="8.605057501002801E-2"/>
    <n v="2.8477988245125028"/>
    <n v="0"/>
    <n v="0"/>
    <n v="0"/>
    <n v="2.8477988245125028"/>
  </r>
  <r>
    <x v="9"/>
    <d v="2021-11-03T00:00:00"/>
    <d v="2021-11-24T00:00:00"/>
    <x v="12"/>
    <n v="9"/>
    <n v="8"/>
    <n v="1.1251790663222052"/>
    <n v="1.3376212393608571"/>
    <n v="10.700969914886857"/>
    <n v="9.0014325305776417"/>
    <n v="1.699537384309215"/>
    <n v="5.2954200006171084E-2"/>
    <n v="1.7524915843153861"/>
    <n v="0"/>
    <n v="0"/>
    <n v="0"/>
    <n v="1.7524915843153861"/>
  </r>
  <r>
    <x v="10"/>
    <d v="2021-12-03T00:00:00"/>
    <d v="2021-12-27T00:00:00"/>
    <x v="12"/>
    <n v="9"/>
    <n v="8"/>
    <n v="1.1251790663222052"/>
    <n v="1.3376212393608571"/>
    <n v="10.700969914886857"/>
    <n v="9.0014325305776417"/>
    <n v="1.699537384309215"/>
    <n v="5.2954200006171084E-2"/>
    <n v="1.7524915843153861"/>
    <n v="0"/>
    <n v="0"/>
    <n v="0"/>
    <n v="1.7524915843153861"/>
  </r>
  <r>
    <x v="11"/>
    <d v="2022-01-05T00:00:00"/>
    <d v="2022-01-24T00:00:00"/>
    <x v="12"/>
    <n v="9"/>
    <n v="11"/>
    <n v="1.1251790663222052"/>
    <n v="1.3376212393608571"/>
    <n v="14.713833632969427"/>
    <n v="12.376969729544257"/>
    <n v="2.3368639034251704"/>
    <n v="7.2812025008485243E-2"/>
    <n v="2.4096759284336557"/>
    <n v="0"/>
    <n v="0"/>
    <n v="0"/>
    <n v="2.4096759284336557"/>
  </r>
  <r>
    <x v="0"/>
    <d v="2021-02-03T00:00:00"/>
    <d v="2021-02-24T00:00:00"/>
    <x v="13"/>
    <n v="9"/>
    <n v="20"/>
    <n v="1.1251790663222052"/>
    <n v="1.3376212393608571"/>
    <n v="26.752424787217141"/>
    <n v="22.503581326444106"/>
    <n v="4.2488434607730348"/>
    <n v="0.1323855000154277"/>
    <n v="4.3812289607884622"/>
    <n v="0"/>
    <n v="0"/>
    <n v="0"/>
    <n v="4.3812289607884622"/>
  </r>
  <r>
    <x v="1"/>
    <d v="2021-03-03T00:00:00"/>
    <d v="2021-03-24T00:00:00"/>
    <x v="13"/>
    <n v="9"/>
    <n v="23"/>
    <n v="1.1251790663222052"/>
    <n v="1.3376212393608571"/>
    <n v="30.765288505299711"/>
    <n v="25.879118525410721"/>
    <n v="4.8861699798889902"/>
    <n v="0.15224332501774188"/>
    <n v="5.0384133049067321"/>
    <n v="0"/>
    <n v="0"/>
    <n v="0"/>
    <n v="5.0384133049067321"/>
  </r>
  <r>
    <x v="2"/>
    <d v="2021-04-05T00:00:00"/>
    <d v="2021-04-26T00:00:00"/>
    <x v="13"/>
    <n v="9"/>
    <n v="16"/>
    <n v="1.1251790663222052"/>
    <n v="1.3376212393608571"/>
    <n v="21.401939829773713"/>
    <n v="18.002865061155283"/>
    <n v="3.3990747686184299"/>
    <n v="0.10590840001234217"/>
    <n v="3.5049831686307722"/>
    <n v="0"/>
    <n v="0"/>
    <n v="0"/>
    <n v="3.5049831686307722"/>
  </r>
  <r>
    <x v="3"/>
    <d v="2021-05-05T00:00:00"/>
    <d v="2021-05-24T00:00:00"/>
    <x v="13"/>
    <n v="9"/>
    <n v="20"/>
    <n v="1.1251790663222052"/>
    <n v="1.3376212393608571"/>
    <n v="26.752424787217141"/>
    <n v="22.503581326444106"/>
    <n v="4.2488434607730348"/>
    <n v="0.1323855000154277"/>
    <n v="4.3812289607884622"/>
    <n v="0"/>
    <n v="0"/>
    <n v="0"/>
    <n v="4.3812289607884622"/>
  </r>
  <r>
    <x v="4"/>
    <d v="2021-06-03T00:00:00"/>
    <d v="2021-06-24T00:00:00"/>
    <x v="13"/>
    <n v="9"/>
    <n v="27"/>
    <n v="1.1251790663222052"/>
    <n v="1.3376212393608571"/>
    <n v="36.115773462743142"/>
    <n v="30.37983479069954"/>
    <n v="5.7359386720436021"/>
    <n v="0.17872042502082741"/>
    <n v="5.9146590970644297"/>
    <n v="0"/>
    <n v="0"/>
    <n v="0"/>
    <n v="5.9146590970644297"/>
  </r>
  <r>
    <x v="5"/>
    <d v="2021-07-06T00:00:00"/>
    <d v="2021-07-24T00:00:00"/>
    <x v="13"/>
    <n v="9"/>
    <n v="32"/>
    <n v="1.1251790663222052"/>
    <n v="1.3376212393608571"/>
    <n v="42.803879659547427"/>
    <n v="36.005730122310567"/>
    <n v="6.7981495372368599"/>
    <n v="0.21181680002468434"/>
    <n v="7.0099663372615444"/>
    <n v="0"/>
    <n v="0"/>
    <n v="0"/>
    <n v="7.0099663372615444"/>
  </r>
  <r>
    <x v="6"/>
    <d v="2021-08-04T00:00:00"/>
    <d v="2021-08-24T00:00:00"/>
    <x v="13"/>
    <n v="9"/>
    <n v="37"/>
    <n v="1.1251790663222052"/>
    <n v="1.3376212393608571"/>
    <n v="49.491985856351711"/>
    <n v="41.631625453921593"/>
    <n v="7.8603604024301177"/>
    <n v="0.24491317502854126"/>
    <n v="8.1052735774586591"/>
    <n v="0"/>
    <n v="0"/>
    <n v="0"/>
    <n v="8.1052735774586591"/>
  </r>
  <r>
    <x v="7"/>
    <d v="2021-09-03T00:00:00"/>
    <d v="2021-09-24T00:00:00"/>
    <x v="13"/>
    <n v="9"/>
    <n v="33"/>
    <n v="1.1251790663222052"/>
    <n v="1.3376212393608571"/>
    <n v="44.141500898908284"/>
    <n v="37.130909188632771"/>
    <n v="7.0105917102755129"/>
    <n v="0.2184360750254557"/>
    <n v="7.2290277853009686"/>
    <n v="0"/>
    <n v="0"/>
    <n v="0"/>
    <n v="7.2290277853009686"/>
  </r>
  <r>
    <x v="8"/>
    <d v="2021-10-05T00:00:00"/>
    <d v="2021-10-25T00:00:00"/>
    <x v="13"/>
    <n v="9"/>
    <n v="37"/>
    <n v="1.1251790663222052"/>
    <n v="1.3376212393608571"/>
    <n v="49.491985856351711"/>
    <n v="41.631625453921593"/>
    <n v="7.8603604024301177"/>
    <n v="0.24491317502854126"/>
    <n v="8.1052735774586591"/>
    <n v="0"/>
    <n v="0"/>
    <n v="0"/>
    <n v="8.1052735774586591"/>
  </r>
  <r>
    <x v="9"/>
    <d v="2021-11-03T00:00:00"/>
    <d v="2021-11-24T00:00:00"/>
    <x v="13"/>
    <n v="9"/>
    <n v="27"/>
    <n v="1.1251790663222052"/>
    <n v="1.3376212393608571"/>
    <n v="36.115773462743142"/>
    <n v="30.37983479069954"/>
    <n v="5.7359386720436021"/>
    <n v="0.17872042502082741"/>
    <n v="5.9146590970644297"/>
    <n v="0"/>
    <n v="0"/>
    <n v="0"/>
    <n v="5.9146590970644297"/>
  </r>
  <r>
    <x v="10"/>
    <d v="2021-12-03T00:00:00"/>
    <d v="2021-12-27T00:00:00"/>
    <x v="13"/>
    <n v="9"/>
    <n v="16"/>
    <n v="1.1251790663222052"/>
    <n v="1.3376212393608571"/>
    <n v="21.401939829773713"/>
    <n v="18.002865061155283"/>
    <n v="3.3990747686184299"/>
    <n v="0.10590840001234217"/>
    <n v="3.5049831686307722"/>
    <n v="0"/>
    <n v="0"/>
    <n v="0"/>
    <n v="3.5049831686307722"/>
  </r>
  <r>
    <x v="11"/>
    <d v="2022-01-05T00:00:00"/>
    <d v="2022-01-24T00:00:00"/>
    <x v="13"/>
    <n v="9"/>
    <n v="19"/>
    <n v="1.1251790663222052"/>
    <n v="1.3376212393608571"/>
    <n v="25.414803547856284"/>
    <n v="21.378402260121899"/>
    <n v="4.0364012877343853"/>
    <n v="0.12576622501465631"/>
    <n v="4.1621675127490416"/>
    <n v="0"/>
    <n v="0"/>
    <n v="0"/>
    <n v="4.1621675127490416"/>
  </r>
  <r>
    <x v="0"/>
    <d v="2021-02-03T00:00:00"/>
    <d v="2021-02-24T00:00:00"/>
    <x v="14"/>
    <n v="9"/>
    <n v="35"/>
    <n v="1.1251790663222052"/>
    <n v="1.3376212393608571"/>
    <n v="46.816743377629997"/>
    <n v="39.381267321277186"/>
    <n v="7.4354760563528117"/>
    <n v="0.23167462502699851"/>
    <n v="7.6671506813798098"/>
    <n v="0"/>
    <n v="0"/>
    <n v="0"/>
    <n v="7.6671506813798098"/>
  </r>
  <r>
    <x v="1"/>
    <d v="2021-03-03T00:00:00"/>
    <d v="2021-03-24T00:00:00"/>
    <x v="14"/>
    <n v="9"/>
    <n v="33"/>
    <n v="1.1251790663222052"/>
    <n v="1.3376212393608571"/>
    <n v="44.141500898908284"/>
    <n v="37.130909188632771"/>
    <n v="7.0105917102755129"/>
    <n v="0.2184360750254557"/>
    <n v="7.2290277853009686"/>
    <n v="0"/>
    <n v="0"/>
    <n v="0"/>
    <n v="7.2290277853009686"/>
  </r>
  <r>
    <x v="2"/>
    <d v="2021-04-05T00:00:00"/>
    <d v="2021-04-26T00:00:00"/>
    <x v="14"/>
    <n v="9"/>
    <n v="30"/>
    <n v="1.1251790663222052"/>
    <n v="1.3376212393608571"/>
    <n v="40.128637180825713"/>
    <n v="33.755371989666159"/>
    <n v="6.3732651911595539"/>
    <n v="0.19857825002314156"/>
    <n v="6.5718434411826951"/>
    <n v="0"/>
    <n v="0"/>
    <n v="0"/>
    <n v="6.5718434411826951"/>
  </r>
  <r>
    <x v="3"/>
    <d v="2021-05-05T00:00:00"/>
    <d v="2021-05-24T00:00:00"/>
    <x v="14"/>
    <n v="9"/>
    <n v="32"/>
    <n v="1.1251790663222052"/>
    <n v="1.3376212393608571"/>
    <n v="42.803879659547427"/>
    <n v="36.005730122310567"/>
    <n v="6.7981495372368599"/>
    <n v="0.21181680002468434"/>
    <n v="7.0099663372615444"/>
    <n v="0"/>
    <n v="0"/>
    <n v="0"/>
    <n v="7.0099663372615444"/>
  </r>
  <r>
    <x v="4"/>
    <d v="2021-06-03T00:00:00"/>
    <d v="2021-06-24T00:00:00"/>
    <x v="14"/>
    <n v="9"/>
    <n v="40"/>
    <n v="1.1251790663222052"/>
    <n v="1.3376212393608571"/>
    <n v="53.504849574434282"/>
    <n v="45.007162652888212"/>
    <n v="8.4976869215460695"/>
    <n v="0.26477100003085541"/>
    <n v="8.7624579215769245"/>
    <n v="0"/>
    <n v="0"/>
    <n v="0"/>
    <n v="8.7624579215769245"/>
  </r>
  <r>
    <x v="5"/>
    <d v="2021-07-06T00:00:00"/>
    <d v="2021-07-24T00:00:00"/>
    <x v="14"/>
    <n v="9"/>
    <n v="46"/>
    <n v="1.1251790663222052"/>
    <n v="1.3376212393608571"/>
    <n v="61.530577010599423"/>
    <n v="51.758237050821442"/>
    <n v="9.7723399597779803"/>
    <n v="0.30448665003548375"/>
    <n v="10.076826609813464"/>
    <n v="0"/>
    <n v="0"/>
    <n v="0"/>
    <n v="10.076826609813464"/>
  </r>
  <r>
    <x v="6"/>
    <d v="2021-08-04T00:00:00"/>
    <d v="2021-08-24T00:00:00"/>
    <x v="14"/>
    <n v="9"/>
    <n v="48"/>
    <n v="1.1251790663222052"/>
    <n v="1.3376212393608571"/>
    <n v="64.205819489321144"/>
    <n v="54.00859518346585"/>
    <n v="10.197224305855293"/>
    <n v="0.31772520003702648"/>
    <n v="10.51494950589232"/>
    <n v="0"/>
    <n v="0"/>
    <n v="0"/>
    <n v="10.51494950589232"/>
  </r>
  <r>
    <x v="7"/>
    <d v="2021-09-03T00:00:00"/>
    <d v="2021-09-24T00:00:00"/>
    <x v="14"/>
    <n v="9"/>
    <n v="50"/>
    <n v="1.1251790663222052"/>
    <n v="1.3376212393608571"/>
    <n v="66.881061968042857"/>
    <n v="56.258953316110258"/>
    <n v="10.622108651932599"/>
    <n v="0.33096375003856932"/>
    <n v="10.953072401971168"/>
    <n v="0"/>
    <n v="0"/>
    <n v="0"/>
    <n v="10.953072401971168"/>
  </r>
  <r>
    <x v="8"/>
    <d v="2021-10-05T00:00:00"/>
    <d v="2021-10-25T00:00:00"/>
    <x v="14"/>
    <n v="9"/>
    <n v="52"/>
    <n v="1.1251790663222052"/>
    <n v="1.3376212393608571"/>
    <n v="69.556304446764571"/>
    <n v="58.509311448754673"/>
    <n v="11.046992998009898"/>
    <n v="0.34420230004011204"/>
    <n v="11.391195298050011"/>
    <n v="0"/>
    <n v="0"/>
    <n v="0"/>
    <n v="11.391195298050011"/>
  </r>
  <r>
    <x v="9"/>
    <d v="2021-11-03T00:00:00"/>
    <d v="2021-11-24T00:00:00"/>
    <x v="14"/>
    <n v="9"/>
    <n v="40"/>
    <n v="1.1251790663222052"/>
    <n v="1.3376212393608571"/>
    <n v="53.504849574434282"/>
    <n v="45.007162652888212"/>
    <n v="8.4976869215460695"/>
    <n v="0.26477100003085541"/>
    <n v="8.7624579215769245"/>
    <n v="0"/>
    <n v="0"/>
    <n v="0"/>
    <n v="8.7624579215769245"/>
  </r>
  <r>
    <x v="10"/>
    <d v="2021-12-03T00:00:00"/>
    <d v="2021-12-27T00:00:00"/>
    <x v="14"/>
    <n v="9"/>
    <n v="32"/>
    <n v="1.1251790663222052"/>
    <n v="1.3376212393608571"/>
    <n v="42.803879659547427"/>
    <n v="36.005730122310567"/>
    <n v="6.7981495372368599"/>
    <n v="0.21181680002468434"/>
    <n v="7.0099663372615444"/>
    <n v="0"/>
    <n v="0"/>
    <n v="0"/>
    <n v="7.0099663372615444"/>
  </r>
  <r>
    <x v="11"/>
    <d v="2022-01-05T00:00:00"/>
    <d v="2022-01-24T00:00:00"/>
    <x v="14"/>
    <n v="9"/>
    <n v="35"/>
    <n v="1.1251790663222052"/>
    <n v="1.3376212393608571"/>
    <n v="46.816743377629997"/>
    <n v="39.381267321277186"/>
    <n v="7.4354760563528117"/>
    <n v="0.23167462502699851"/>
    <n v="7.6671506813798098"/>
    <n v="0"/>
    <n v="0"/>
    <n v="0"/>
    <n v="7.6671506813798098"/>
  </r>
  <r>
    <x v="0"/>
    <d v="2021-02-03T00:00:00"/>
    <d v="2021-02-24T00:00:00"/>
    <x v="15"/>
    <n v="9"/>
    <n v="94"/>
    <n v="1.1251790663222052"/>
    <n v="1.3376212393608571"/>
    <n v="125.73639649992056"/>
    <n v="105.76683223428729"/>
    <n v="19.969564265633267"/>
    <n v="0.62221185007251023"/>
    <n v="20.591776115705777"/>
    <n v="0"/>
    <n v="0"/>
    <n v="0"/>
    <n v="20.591776115705777"/>
  </r>
  <r>
    <x v="1"/>
    <d v="2021-03-03T00:00:00"/>
    <d v="2021-03-24T00:00:00"/>
    <x v="15"/>
    <n v="9"/>
    <n v="100"/>
    <n v="1.1251790663222052"/>
    <n v="1.3376212393608571"/>
    <n v="133.76212393608571"/>
    <n v="112.51790663222052"/>
    <n v="21.244217303865199"/>
    <n v="0.66192750007713863"/>
    <n v="21.906144803942336"/>
    <n v="0"/>
    <n v="0"/>
    <n v="0"/>
    <n v="21.906144803942336"/>
  </r>
  <r>
    <x v="2"/>
    <d v="2021-04-05T00:00:00"/>
    <d v="2021-04-26T00:00:00"/>
    <x v="15"/>
    <n v="9"/>
    <n v="101"/>
    <n v="1.1251790663222052"/>
    <n v="1.3376212393608571"/>
    <n v="135.09974517544657"/>
    <n v="113.64308569854272"/>
    <n v="21.456659476903852"/>
    <n v="0.66854677507790994"/>
    <n v="22.125206251981762"/>
    <n v="0"/>
    <n v="0"/>
    <n v="0"/>
    <n v="22.125206251981762"/>
  </r>
  <r>
    <x v="3"/>
    <d v="2021-05-05T00:00:00"/>
    <d v="2021-05-24T00:00:00"/>
    <x v="15"/>
    <n v="9"/>
    <n v="98"/>
    <n v="1.1251790663222052"/>
    <n v="1.3376212393608571"/>
    <n v="131.086881457364"/>
    <n v="110.26754849957611"/>
    <n v="20.819332957787893"/>
    <n v="0.64868895007559579"/>
    <n v="21.468021907863488"/>
    <n v="0"/>
    <n v="0"/>
    <n v="0"/>
    <n v="21.468021907863488"/>
  </r>
  <r>
    <x v="4"/>
    <d v="2021-06-03T00:00:00"/>
    <d v="2021-06-24T00:00:00"/>
    <x v="15"/>
    <n v="9"/>
    <n v="99"/>
    <n v="1.1251790663222052"/>
    <n v="1.3376212393608571"/>
    <n v="132.42450269672486"/>
    <n v="111.39272756589831"/>
    <n v="21.031775130826546"/>
    <n v="0.65530822507636721"/>
    <n v="21.687083355902914"/>
    <n v="0"/>
    <n v="0"/>
    <n v="0"/>
    <n v="21.687083355902914"/>
  </r>
  <r>
    <x v="5"/>
    <d v="2021-07-06T00:00:00"/>
    <d v="2021-07-24T00:00:00"/>
    <x v="15"/>
    <n v="9"/>
    <n v="113"/>
    <n v="1.1251790663222052"/>
    <n v="1.3376212393608571"/>
    <n v="151.15120004777685"/>
    <n v="127.14523449440919"/>
    <n v="24.005965553367659"/>
    <n v="0.74797807508716663"/>
    <n v="24.753943628454827"/>
    <n v="0"/>
    <n v="0"/>
    <n v="0"/>
    <n v="24.753943628454827"/>
  </r>
  <r>
    <x v="6"/>
    <d v="2021-08-04T00:00:00"/>
    <d v="2021-08-24T00:00:00"/>
    <x v="15"/>
    <n v="9"/>
    <n v="116"/>
    <n v="1.1251790663222052"/>
    <n v="1.3376212393608571"/>
    <n v="155.16406376585942"/>
    <n v="130.52077169337579"/>
    <n v="24.643292072483632"/>
    <n v="0.76783590008948077"/>
    <n v="25.411127972573112"/>
    <n v="0"/>
    <n v="0"/>
    <n v="0"/>
    <n v="25.411127972573112"/>
  </r>
  <r>
    <x v="7"/>
    <d v="2021-09-03T00:00:00"/>
    <d v="2021-09-24T00:00:00"/>
    <x v="15"/>
    <n v="9"/>
    <n v="116"/>
    <n v="1.1251790663222052"/>
    <n v="1.3376212393608571"/>
    <n v="155.16406376585942"/>
    <n v="130.52077169337579"/>
    <n v="24.643292072483632"/>
    <n v="0.76783590008948077"/>
    <n v="25.411127972573112"/>
    <n v="0"/>
    <n v="0"/>
    <n v="0"/>
    <n v="25.411127972573112"/>
  </r>
  <r>
    <x v="8"/>
    <d v="2021-10-05T00:00:00"/>
    <d v="2021-10-25T00:00:00"/>
    <x v="15"/>
    <n v="9"/>
    <n v="116"/>
    <n v="1.1251790663222052"/>
    <n v="1.3376212393608571"/>
    <n v="155.16406376585942"/>
    <n v="130.52077169337579"/>
    <n v="24.643292072483632"/>
    <n v="0.76783590008948077"/>
    <n v="25.411127972573112"/>
    <n v="0"/>
    <n v="0"/>
    <n v="0"/>
    <n v="25.411127972573112"/>
  </r>
  <r>
    <x v="9"/>
    <d v="2021-11-03T00:00:00"/>
    <d v="2021-11-24T00:00:00"/>
    <x v="15"/>
    <n v="9"/>
    <n v="105"/>
    <n v="1.1251790663222052"/>
    <n v="1.3376212393608571"/>
    <n v="140.45023013289"/>
    <n v="118.14380196383155"/>
    <n v="22.306428169058449"/>
    <n v="0.6950238750809955"/>
    <n v="23.001452044139445"/>
    <n v="0"/>
    <n v="0"/>
    <n v="0"/>
    <n v="23.001452044139445"/>
  </r>
  <r>
    <x v="10"/>
    <d v="2021-12-03T00:00:00"/>
    <d v="2021-12-27T00:00:00"/>
    <x v="15"/>
    <n v="9"/>
    <n v="100"/>
    <n v="1.1251790663222052"/>
    <n v="1.3376212393608571"/>
    <n v="133.76212393608571"/>
    <n v="112.51790663222052"/>
    <n v="21.244217303865199"/>
    <n v="0.66192750007713863"/>
    <n v="21.906144803942336"/>
    <n v="0"/>
    <n v="0"/>
    <n v="0"/>
    <n v="21.906144803942336"/>
  </r>
  <r>
    <x v="11"/>
    <d v="2022-01-05T00:00:00"/>
    <d v="2022-01-24T00:00:00"/>
    <x v="15"/>
    <n v="9"/>
    <n v="103"/>
    <n v="1.1251790663222052"/>
    <n v="1.3376212393608571"/>
    <n v="137.77498765416829"/>
    <n v="115.89344383118714"/>
    <n v="21.881543822981143"/>
    <n v="0.68178532507945278"/>
    <n v="22.563329148060596"/>
    <n v="0"/>
    <n v="0"/>
    <n v="0"/>
    <n v="22.563329148060596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200-000000000000}" name="PivotTable2" cacheId="31" dataOnRows="1" applyNumberFormats="0" applyBorderFormats="0" applyFontFormats="0" applyPatternFormats="0" applyAlignmentFormats="0" applyWidthHeightFormats="1" dataCaption="Data" updatedVersion="7" minRefreshableVersion="3" asteriskTotals="1" showMemberPropertyTips="0" useAutoFormatting="1" itemPrintTitles="1" createdVersion="6" indent="0" compact="0" compactData="0" gridDropZones="1">
  <location ref="A3:O123" firstHeaderRow="1" firstDataRow="2" firstDataCol="2"/>
  <pivotFields count="17">
    <pivotField axis="axisCol" compact="0" numFmtId="17" outline="0" subtotalTop="0" showAll="0" includeNewItemsInFilter="1">
      <items count="145">
        <item m="1" x="53"/>
        <item m="1" x="75"/>
        <item m="1" x="97"/>
        <item m="1" x="119"/>
        <item m="1" x="141"/>
        <item m="1" x="31"/>
        <item m="1" x="64"/>
        <item m="1" x="86"/>
        <item m="1" x="108"/>
        <item m="1" x="130"/>
        <item m="1" x="20"/>
        <item m="1" x="42"/>
        <item m="1" x="54"/>
        <item m="1" x="76"/>
        <item m="1" x="98"/>
        <item m="1" x="120"/>
        <item m="1" x="142"/>
        <item m="1" x="32"/>
        <item m="1" x="65"/>
        <item m="1" x="87"/>
        <item m="1" x="109"/>
        <item m="1" x="131"/>
        <item m="1" x="21"/>
        <item m="1" x="43"/>
        <item m="1" x="55"/>
        <item m="1" x="77"/>
        <item m="1" x="99"/>
        <item m="1" x="121"/>
        <item m="1" x="143"/>
        <item m="1" x="33"/>
        <item m="1" x="66"/>
        <item m="1" x="88"/>
        <item m="1" x="110"/>
        <item m="1" x="132"/>
        <item m="1" x="22"/>
        <item m="1" x="44"/>
        <item m="1" x="56"/>
        <item m="1" x="78"/>
        <item m="1" x="100"/>
        <item m="1" x="122"/>
        <item m="1" x="12"/>
        <item m="1" x="34"/>
        <item m="1" x="67"/>
        <item m="1" x="89"/>
        <item m="1" x="111"/>
        <item m="1" x="133"/>
        <item m="1" x="23"/>
        <item m="1" x="45"/>
        <item m="1" x="57"/>
        <item m="1" x="79"/>
        <item m="1" x="101"/>
        <item m="1" x="123"/>
        <item m="1" x="13"/>
        <item m="1" x="35"/>
        <item m="1" x="68"/>
        <item m="1" x="90"/>
        <item m="1" x="112"/>
        <item m="1" x="134"/>
        <item m="1" x="24"/>
        <item m="1" x="46"/>
        <item m="1" x="58"/>
        <item m="1" x="80"/>
        <item m="1" x="102"/>
        <item m="1" x="124"/>
        <item m="1" x="14"/>
        <item m="1" x="36"/>
        <item m="1" x="69"/>
        <item m="1" x="91"/>
        <item m="1" x="113"/>
        <item m="1" x="135"/>
        <item m="1" x="25"/>
        <item m="1" x="47"/>
        <item m="1" x="59"/>
        <item m="1" x="81"/>
        <item m="1" x="103"/>
        <item m="1" x="125"/>
        <item m="1" x="15"/>
        <item m="1" x="37"/>
        <item m="1" x="70"/>
        <item m="1" x="92"/>
        <item m="1" x="114"/>
        <item m="1" x="136"/>
        <item m="1" x="26"/>
        <item m="1" x="48"/>
        <item m="1" x="60"/>
        <item m="1" x="82"/>
        <item m="1" x="104"/>
        <item m="1" x="126"/>
        <item m="1" x="16"/>
        <item m="1" x="38"/>
        <item m="1" x="71"/>
        <item m="1" x="93"/>
        <item m="1" x="115"/>
        <item m="1" x="137"/>
        <item m="1" x="27"/>
        <item m="1" x="49"/>
        <item m="1" x="61"/>
        <item m="1" x="83"/>
        <item m="1" x="105"/>
        <item m="1" x="127"/>
        <item m="1" x="17"/>
        <item m="1" x="39"/>
        <item m="1" x="72"/>
        <item m="1" x="94"/>
        <item m="1" x="116"/>
        <item m="1" x="138"/>
        <item m="1" x="28"/>
        <item m="1" x="50"/>
        <item m="1" x="62"/>
        <item m="1" x="84"/>
        <item m="1" x="106"/>
        <item m="1" x="128"/>
        <item m="1" x="18"/>
        <item m="1" x="40"/>
        <item m="1" x="73"/>
        <item m="1" x="95"/>
        <item m="1" x="117"/>
        <item m="1" x="139"/>
        <item m="1" x="29"/>
        <item m="1" x="51"/>
        <item m="1" x="63"/>
        <item m="1" x="85"/>
        <item m="1" x="107"/>
        <item m="1" x="129"/>
        <item m="1" x="19"/>
        <item m="1" x="41"/>
        <item m="1" x="74"/>
        <item m="1" x="96"/>
        <item m="1" x="118"/>
        <item m="1" x="140"/>
        <item m="1" x="30"/>
        <item m="1" x="52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compact="0" numFmtId="14" outline="0" subtotalTop="0" showAll="0" includeNewItemsInFilter="1"/>
    <pivotField compact="0" numFmtId="14" outline="0" subtotalTop="0" showAll="0" includeNewItemsInFilter="1"/>
    <pivotField axis="axisRow" compact="0" outline="0" subtotalTop="0" showAll="0" includeNewItemsInFilter="1">
      <items count="23">
        <item x="3"/>
        <item m="1" x="16"/>
        <item x="15"/>
        <item x="8"/>
        <item x="9"/>
        <item m="1" x="17"/>
        <item x="10"/>
        <item m="1" x="18"/>
        <item x="7"/>
        <item x="6"/>
        <item m="1" x="20"/>
        <item x="0"/>
        <item x="1"/>
        <item m="1" x="19"/>
        <item x="5"/>
        <item m="1" x="21"/>
        <item x="11"/>
        <item x="12"/>
        <item x="13"/>
        <item x="14"/>
        <item x="2"/>
        <item x="4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numFmtId="164" outline="0" subtotalTop="0" showAll="0" includeNewItemsInFilter="1"/>
    <pivotField compact="0" numFmtId="164" outline="0" subtotalTop="0" showAll="0" includeNewItemsInFilter="1"/>
    <pivotField dataField="1" compact="0" numFmtId="164" outline="0" subtotalTop="0" showAll="0" includeNewItemsInFilter="1"/>
    <pivotField dataField="1" compact="0" numFmtId="164" outline="0" subtotalTop="0" showAll="0" includeNewItemsInFilter="1"/>
    <pivotField dataField="1" compact="0" numFmtId="164" outline="0" subtotalTop="0" showAll="0" includeNewItemsInFilter="1"/>
    <pivotField dataField="1" compact="0" numFmtId="164" outline="0" subtotalTop="0" showAll="0" includeNewItemsInFilter="1"/>
    <pivotField compact="0" numFmtId="164" outline="0" showAll="0"/>
    <pivotField compact="0" numFmtId="164" outline="0" subtotalTop="0" showAll="0" includeNewItemsInFilter="1" defaultSubtotal="0"/>
    <pivotField dataField="1" compact="0" numFmtId="164" outline="0" subtotalTop="0" showAll="0" includeNewItemsInFilter="1" defaultSubtotal="0"/>
    <pivotField dataField="1" compact="0" numFmtId="164" outline="0" subtotalTop="0" showAll="0" includeNewItemsInFilter="1" defaultSubtotal="0"/>
    <pivotField dataField="1" compact="0" numFmtId="164" outline="0" subtotalTop="0" showAll="0" includeNewItemsInFilter="1"/>
  </pivotFields>
  <rowFields count="2">
    <field x="3"/>
    <field x="-2"/>
  </rowFields>
  <rowItems count="119">
    <i>
      <x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2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3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4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6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8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9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11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12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14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16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17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18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19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20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21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 t="grand">
      <x/>
    </i>
    <i t="grand" i="1">
      <x/>
    </i>
    <i t="grand" i="2">
      <x/>
    </i>
    <i t="grand" i="3">
      <x/>
    </i>
    <i t="grand" i="4">
      <x/>
    </i>
    <i t="grand" i="5">
      <x/>
    </i>
    <i t="grand" i="6">
      <x/>
    </i>
  </rowItems>
  <colFields count="1">
    <field x="0"/>
  </colFields>
  <colItems count="13">
    <i>
      <x v="132"/>
    </i>
    <i>
      <x v="133"/>
    </i>
    <i>
      <x v="134"/>
    </i>
    <i>
      <x v="135"/>
    </i>
    <i>
      <x v="136"/>
    </i>
    <i>
      <x v="137"/>
    </i>
    <i>
      <x v="138"/>
    </i>
    <i>
      <x v="139"/>
    </i>
    <i>
      <x v="140"/>
    </i>
    <i>
      <x v="141"/>
    </i>
    <i>
      <x v="142"/>
    </i>
    <i>
      <x v="143"/>
    </i>
    <i t="grand">
      <x/>
    </i>
  </colItems>
  <dataFields count="7">
    <dataField name="Sum of True-Up Charge" fld="8" baseField="0" baseItem="0"/>
    <dataField name="Sum of True-Up w/o Interest" fld="10" baseField="0" baseItem="0"/>
    <dataField name="Sum of Interest" fld="11" baseField="0" baseItem="0"/>
    <dataField name="Sum of Total True-up" fld="16" baseField="0" baseItem="0"/>
    <dataField name="Sum of Invoiced*** Charge (proj.)" fld="9" baseField="0" baseItem="0"/>
    <dataField name="Sum of Tax True Up Billing" fld="14" baseField="0" baseItem="0"/>
    <dataField name="Sum of Tax True Up" fld="15" baseField="0" baseItem="0"/>
  </dataFields>
  <formats count="171">
    <format dxfId="170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0"/>
          </reference>
        </references>
      </pivotArea>
    </format>
    <format dxfId="169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0"/>
          </reference>
        </references>
      </pivotArea>
    </format>
    <format dxfId="168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1"/>
          </reference>
        </references>
      </pivotArea>
    </format>
    <format dxfId="167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2"/>
          </reference>
        </references>
      </pivotArea>
    </format>
    <format dxfId="166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3"/>
          </reference>
        </references>
      </pivotArea>
    </format>
    <format dxfId="165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4"/>
          </reference>
        </references>
      </pivotArea>
    </format>
    <format dxfId="164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5"/>
          </reference>
        </references>
      </pivotArea>
    </format>
    <format dxfId="163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6"/>
          </reference>
        </references>
      </pivotArea>
    </format>
    <format dxfId="162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7"/>
          </reference>
        </references>
      </pivotArea>
    </format>
    <format dxfId="161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8"/>
          </reference>
        </references>
      </pivotArea>
    </format>
    <format dxfId="160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9"/>
          </reference>
        </references>
      </pivotArea>
    </format>
    <format dxfId="159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10"/>
          </reference>
        </references>
      </pivotArea>
    </format>
    <format dxfId="158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11"/>
          </reference>
        </references>
      </pivotArea>
    </format>
    <format dxfId="157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12"/>
          </reference>
        </references>
      </pivotArea>
    </format>
    <format dxfId="156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13"/>
          </reference>
        </references>
      </pivotArea>
    </format>
    <format dxfId="155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14"/>
          </reference>
        </references>
      </pivotArea>
    </format>
    <format dxfId="154">
      <pivotArea field="3" grandRow="1" outline="0" axis="axisRow" fieldPosition="0">
        <references count="1">
          <reference field="4294967294" count="3" selected="0">
            <x v="1"/>
            <x v="2"/>
            <x v="3"/>
          </reference>
        </references>
      </pivotArea>
    </format>
    <format dxfId="153">
      <pivotArea outline="0" fieldPosition="0">
        <references count="3">
          <reference field="4294967294" count="1" selected="0">
            <x v="2"/>
          </reference>
          <reference field="0" count="1" selected="0">
            <x v="60"/>
          </reference>
          <reference field="3" count="1" selected="0">
            <x v="20"/>
          </reference>
        </references>
      </pivotArea>
    </format>
    <format dxfId="152">
      <pivotArea outline="0" fieldPosition="0">
        <references count="3">
          <reference field="4294967294" count="1" selected="0">
            <x v="3"/>
          </reference>
          <reference field="0" count="1" selected="0">
            <x v="60"/>
          </reference>
          <reference field="3" count="1" selected="0">
            <x v="20"/>
          </reference>
        </references>
      </pivotArea>
    </format>
    <format dxfId="151">
      <pivotArea grandRow="1" grandCol="1" outline="0" fieldPosition="0">
        <references count="1">
          <reference field="4294967294" count="5" selected="0">
            <x v="0"/>
            <x v="1"/>
            <x v="2"/>
            <x v="3"/>
            <x v="4"/>
          </reference>
        </references>
      </pivotArea>
    </format>
    <format dxfId="150">
      <pivotArea outline="0" fieldPosition="0"/>
    </format>
    <format dxfId="149">
      <pivotArea type="all" dataOnly="0" outline="0" fieldPosition="0"/>
    </format>
    <format dxfId="148">
      <pivotArea outline="0" fieldPosition="0"/>
    </format>
    <format dxfId="147">
      <pivotArea type="origin" dataOnly="0" labelOnly="1" outline="0" fieldPosition="0"/>
    </format>
    <format dxfId="146">
      <pivotArea field="0" type="button" dataOnly="0" labelOnly="1" outline="0" axis="axisCol" fieldPosition="0"/>
    </format>
    <format dxfId="145">
      <pivotArea type="topRight" dataOnly="0" labelOnly="1" outline="0" fieldPosition="0"/>
    </format>
    <format dxfId="144">
      <pivotArea field="3" type="button" dataOnly="0" labelOnly="1" outline="0" axis="axisRow" fieldPosition="0"/>
    </format>
    <format dxfId="143">
      <pivotArea field="-2" type="button" dataOnly="0" labelOnly="1" outline="0" axis="axisRow" fieldPosition="1"/>
    </format>
    <format dxfId="142">
      <pivotArea dataOnly="0" labelOnly="1" outline="0" fieldPosition="0">
        <references count="1">
          <reference field="3" count="0"/>
        </references>
      </pivotArea>
    </format>
    <format dxfId="141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140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139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138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137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136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135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134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133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132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131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130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129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128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127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126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125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124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123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122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121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120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119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118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117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116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115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114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113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112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111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110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109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108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107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106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105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104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103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102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101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100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99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98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97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96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95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94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93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92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0"/>
          </reference>
        </references>
      </pivotArea>
    </format>
    <format dxfId="91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2"/>
          </reference>
        </references>
      </pivotArea>
    </format>
    <format dxfId="90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3"/>
          </reference>
        </references>
      </pivotArea>
    </format>
    <format dxfId="89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4"/>
          </reference>
        </references>
      </pivotArea>
    </format>
    <format dxfId="88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6"/>
          </reference>
        </references>
      </pivotArea>
    </format>
    <format dxfId="87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8"/>
          </reference>
        </references>
      </pivotArea>
    </format>
    <format dxfId="86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9"/>
          </reference>
        </references>
      </pivotArea>
    </format>
    <format dxfId="85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1"/>
          </reference>
        </references>
      </pivotArea>
    </format>
    <format dxfId="84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2"/>
          </reference>
        </references>
      </pivotArea>
    </format>
    <format dxfId="83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4"/>
          </reference>
        </references>
      </pivotArea>
    </format>
    <format dxfId="82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6"/>
          </reference>
        </references>
      </pivotArea>
    </format>
    <format dxfId="81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7"/>
          </reference>
        </references>
      </pivotArea>
    </format>
    <format dxfId="80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8"/>
          </reference>
        </references>
      </pivotArea>
    </format>
    <format dxfId="79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9"/>
          </reference>
        </references>
      </pivotArea>
    </format>
    <format dxfId="78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20"/>
          </reference>
        </references>
      </pivotArea>
    </format>
    <format dxfId="77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21"/>
          </reference>
        </references>
      </pivotArea>
    </format>
    <format dxfId="76">
      <pivotArea dataOnly="0" labelOnly="1" outline="0" fieldPosition="0">
        <references count="1">
          <reference field="0" count="0"/>
        </references>
      </pivotArea>
    </format>
    <format dxfId="75">
      <pivotArea dataOnly="0" labelOnly="1" grandCol="1" outline="0" fieldPosition="0"/>
    </format>
    <format dxfId="74">
      <pivotArea type="all" dataOnly="0" outline="0" fieldPosition="0"/>
    </format>
    <format dxfId="73">
      <pivotArea outline="0" fieldPosition="0"/>
    </format>
    <format dxfId="72">
      <pivotArea type="origin" dataOnly="0" labelOnly="1" outline="0" fieldPosition="0"/>
    </format>
    <format dxfId="71">
      <pivotArea field="0" type="button" dataOnly="0" labelOnly="1" outline="0" axis="axisCol" fieldPosition="0"/>
    </format>
    <format dxfId="70">
      <pivotArea type="topRight" dataOnly="0" labelOnly="1" outline="0" fieldPosition="0"/>
    </format>
    <format dxfId="69">
      <pivotArea field="3" type="button" dataOnly="0" labelOnly="1" outline="0" axis="axisRow" fieldPosition="0"/>
    </format>
    <format dxfId="68">
      <pivotArea field="-2" type="button" dataOnly="0" labelOnly="1" outline="0" axis="axisRow" fieldPosition="1"/>
    </format>
    <format dxfId="67">
      <pivotArea dataOnly="0" labelOnly="1" outline="0" fieldPosition="0">
        <references count="1">
          <reference field="3" count="0"/>
        </references>
      </pivotArea>
    </format>
    <format dxfId="66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65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64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63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62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61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60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59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58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57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56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55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54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53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52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51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50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49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48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47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46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45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44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43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42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41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40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39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38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37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36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35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34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33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32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31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30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29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28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27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26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25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24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23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22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21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20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19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18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17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0"/>
          </reference>
        </references>
      </pivotArea>
    </format>
    <format dxfId="16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2"/>
          </reference>
        </references>
      </pivotArea>
    </format>
    <format dxfId="15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3"/>
          </reference>
        </references>
      </pivotArea>
    </format>
    <format dxfId="14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4"/>
          </reference>
        </references>
      </pivotArea>
    </format>
    <format dxfId="13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6"/>
          </reference>
        </references>
      </pivotArea>
    </format>
    <format dxfId="12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8"/>
          </reference>
        </references>
      </pivotArea>
    </format>
    <format dxfId="11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9"/>
          </reference>
        </references>
      </pivotArea>
    </format>
    <format dxfId="10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1"/>
          </reference>
        </references>
      </pivotArea>
    </format>
    <format dxfId="9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2"/>
          </reference>
        </references>
      </pivotArea>
    </format>
    <format dxfId="8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4"/>
          </reference>
        </references>
      </pivotArea>
    </format>
    <format dxfId="7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6"/>
          </reference>
        </references>
      </pivotArea>
    </format>
    <format dxfId="6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7"/>
          </reference>
        </references>
      </pivotArea>
    </format>
    <format dxfId="5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8"/>
          </reference>
        </references>
      </pivotArea>
    </format>
    <format dxfId="4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9"/>
          </reference>
        </references>
      </pivotArea>
    </format>
    <format dxfId="3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20"/>
          </reference>
        </references>
      </pivotArea>
    </format>
    <format dxfId="2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21"/>
          </reference>
        </references>
      </pivotArea>
    </format>
    <format dxfId="1">
      <pivotArea dataOnly="0" labelOnly="1" outline="0" fieldPosition="0">
        <references count="1">
          <reference field="0" count="0"/>
        </references>
      </pivotArea>
    </format>
    <format dxfId="0">
      <pivotArea dataOnly="0" labelOnly="1" grandCol="1" outline="0" fieldPosition="0"/>
    </format>
  </format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7"/>
  <sheetViews>
    <sheetView workbookViewId="0">
      <selection sqref="A1:IV65536"/>
    </sheetView>
  </sheetViews>
  <sheetFormatPr defaultColWidth="8.7109375" defaultRowHeight="12.75" x14ac:dyDescent="0.2"/>
  <cols>
    <col min="1" max="16384" width="8.7109375" style="1"/>
  </cols>
  <sheetData>
    <row r="1" spans="1:2" x14ac:dyDescent="0.2">
      <c r="A1" s="1" t="s">
        <v>65</v>
      </c>
    </row>
    <row r="3" spans="1:2" x14ac:dyDescent="0.2">
      <c r="A3" s="2">
        <v>1</v>
      </c>
      <c r="B3" s="3" t="s">
        <v>67</v>
      </c>
    </row>
    <row r="4" spans="1:2" x14ac:dyDescent="0.2">
      <c r="A4" s="2">
        <v>2</v>
      </c>
      <c r="B4" s="3" t="s">
        <v>66</v>
      </c>
    </row>
    <row r="5" spans="1:2" x14ac:dyDescent="0.2">
      <c r="A5" s="2">
        <v>3</v>
      </c>
      <c r="B5" s="3" t="s">
        <v>68</v>
      </c>
    </row>
    <row r="6" spans="1:2" x14ac:dyDescent="0.2">
      <c r="A6" s="2">
        <v>4</v>
      </c>
      <c r="B6" s="4" t="s">
        <v>82</v>
      </c>
    </row>
    <row r="7" spans="1:2" x14ac:dyDescent="0.2">
      <c r="A7" s="2">
        <v>5</v>
      </c>
      <c r="B7" s="3" t="s">
        <v>69</v>
      </c>
    </row>
    <row r="8" spans="1:2" x14ac:dyDescent="0.2">
      <c r="A8" s="2">
        <v>6</v>
      </c>
      <c r="B8" s="3" t="s">
        <v>70</v>
      </c>
    </row>
    <row r="9" spans="1:2" x14ac:dyDescent="0.2">
      <c r="A9" s="2">
        <v>7</v>
      </c>
      <c r="B9" s="5" t="s">
        <v>71</v>
      </c>
    </row>
    <row r="10" spans="1:2" x14ac:dyDescent="0.2">
      <c r="A10" s="2">
        <v>8</v>
      </c>
      <c r="B10" s="3" t="s">
        <v>74</v>
      </c>
    </row>
    <row r="11" spans="1:2" x14ac:dyDescent="0.2">
      <c r="A11" s="2"/>
      <c r="B11" s="3" t="s">
        <v>75</v>
      </c>
    </row>
    <row r="12" spans="1:2" x14ac:dyDescent="0.2">
      <c r="A12" s="2"/>
      <c r="B12" s="5" t="s">
        <v>76</v>
      </c>
    </row>
    <row r="13" spans="1:2" x14ac:dyDescent="0.2">
      <c r="A13" s="2"/>
      <c r="B13" s="5" t="s">
        <v>77</v>
      </c>
    </row>
    <row r="14" spans="1:2" x14ac:dyDescent="0.2">
      <c r="A14" s="2">
        <v>9</v>
      </c>
      <c r="B14" s="3" t="s">
        <v>78</v>
      </c>
    </row>
    <row r="15" spans="1:2" x14ac:dyDescent="0.2">
      <c r="A15" s="2">
        <v>10</v>
      </c>
      <c r="B15" s="3" t="s">
        <v>80</v>
      </c>
    </row>
    <row r="16" spans="1:2" x14ac:dyDescent="0.2">
      <c r="A16" s="2">
        <v>11</v>
      </c>
      <c r="B16" s="3" t="s">
        <v>81</v>
      </c>
    </row>
    <row r="17" spans="1:1" x14ac:dyDescent="0.2">
      <c r="A17" s="2"/>
    </row>
  </sheetData>
  <phoneticPr fontId="6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S40"/>
  <sheetViews>
    <sheetView tabSelected="1" zoomScale="85" zoomScaleNormal="85" zoomScaleSheetLayoutView="100" workbookViewId="0">
      <selection activeCell="B4" sqref="B4"/>
    </sheetView>
  </sheetViews>
  <sheetFormatPr defaultColWidth="33.28515625" defaultRowHeight="12.75" x14ac:dyDescent="0.2"/>
  <cols>
    <col min="1" max="1" width="9.140625" style="1" customWidth="1"/>
    <col min="2" max="2" width="14" style="1" customWidth="1"/>
    <col min="3" max="3" width="21.85546875" style="1" customWidth="1"/>
    <col min="4" max="4" width="15.5703125" style="1" customWidth="1"/>
    <col min="5" max="16" width="14" style="1" customWidth="1"/>
    <col min="17" max="17" width="15" style="1" customWidth="1"/>
    <col min="18" max="110" width="31.7109375" style="1" customWidth="1"/>
    <col min="111" max="111" width="11.42578125" style="1" customWidth="1"/>
    <col min="112" max="16384" width="33.28515625" style="1"/>
  </cols>
  <sheetData>
    <row r="1" spans="2:19" x14ac:dyDescent="0.2">
      <c r="C1" s="249" t="str">
        <f>+Transactions!B1</f>
        <v>AEPTCo Formula Rate -- FERC Docket ER18-194</v>
      </c>
      <c r="D1" s="249"/>
      <c r="E1" s="249"/>
      <c r="F1" s="249"/>
      <c r="G1" s="249"/>
      <c r="H1" s="249"/>
      <c r="I1" s="249"/>
      <c r="L1" s="6">
        <v>2022</v>
      </c>
    </row>
    <row r="2" spans="2:19" x14ac:dyDescent="0.2">
      <c r="C2" s="249" t="s">
        <v>36</v>
      </c>
      <c r="D2" s="249"/>
      <c r="E2" s="249"/>
      <c r="F2" s="249"/>
      <c r="G2" s="249"/>
      <c r="H2" s="249"/>
      <c r="I2" s="249"/>
    </row>
    <row r="3" spans="2:19" x14ac:dyDescent="0.2">
      <c r="C3" s="249" t="str">
        <f>"for period 01/01/"&amp;F8&amp;" - 12/31/"&amp;F8</f>
        <v>for period 01/01/2021 - 12/31/2021</v>
      </c>
      <c r="D3" s="249"/>
      <c r="E3" s="249"/>
      <c r="F3" s="249"/>
      <c r="G3" s="249"/>
      <c r="H3" s="249"/>
      <c r="I3" s="249"/>
    </row>
    <row r="4" spans="2:19" x14ac:dyDescent="0.2">
      <c r="C4" s="249" t="s">
        <v>96</v>
      </c>
      <c r="D4" s="249"/>
      <c r="E4" s="249"/>
      <c r="F4" s="249"/>
      <c r="G4" s="249"/>
      <c r="H4" s="249"/>
      <c r="I4" s="249"/>
    </row>
    <row r="5" spans="2:19" x14ac:dyDescent="0.2">
      <c r="C5" s="7" t="str">
        <f>"Prepared:  May 24_, "&amp;L1&amp;""</f>
        <v>Prepared:  May 24_, 2022</v>
      </c>
      <c r="D5" s="8"/>
    </row>
    <row r="6" spans="2:19" x14ac:dyDescent="0.2">
      <c r="C6" s="9"/>
    </row>
    <row r="7" spans="2:19" x14ac:dyDescent="0.2">
      <c r="C7" s="10"/>
    </row>
    <row r="8" spans="2:19" ht="27.75" customHeight="1" thickBot="1" x14ac:dyDescent="0.25">
      <c r="F8" s="11">
        <f>Transactions!R1</f>
        <v>2021</v>
      </c>
    </row>
    <row r="9" spans="2:19" ht="20.25" customHeight="1" x14ac:dyDescent="0.2">
      <c r="E9" s="12" t="s">
        <v>95</v>
      </c>
      <c r="F9" s="13"/>
      <c r="G9" s="14"/>
      <c r="H9" s="15"/>
      <c r="L9" s="2"/>
    </row>
    <row r="10" spans="2:19" ht="42" customHeight="1" thickBot="1" x14ac:dyDescent="0.25">
      <c r="B10" s="16"/>
      <c r="E10" s="17" t="str">
        <f>"(per "&amp;$F8&amp;" Projections "&amp;$F8&amp;")"</f>
        <v>(per 2021 Projections 2021)</v>
      </c>
      <c r="F10" s="18" t="str">
        <f>"(per "&amp;F8+1&amp;" Update of May "&amp;F8+1&amp;")"</f>
        <v>(per 2022 Update of May 2022)</v>
      </c>
      <c r="G10" s="19"/>
      <c r="H10" s="20"/>
    </row>
    <row r="11" spans="2:19" ht="21.75" customHeight="1" x14ac:dyDescent="0.2">
      <c r="B11" s="21"/>
      <c r="C11" s="22" t="s">
        <v>39</v>
      </c>
      <c r="D11" s="23" t="s">
        <v>37</v>
      </c>
      <c r="E11" s="24">
        <f>Transactions!K2</f>
        <v>110552.87604249152</v>
      </c>
      <c r="F11" s="25"/>
      <c r="G11" s="26"/>
      <c r="H11" s="27"/>
    </row>
    <row r="12" spans="2:19" ht="21.75" customHeight="1" x14ac:dyDescent="0.2">
      <c r="B12" s="21"/>
      <c r="C12" s="28"/>
      <c r="D12" s="29" t="s">
        <v>43</v>
      </c>
      <c r="E12" s="30"/>
      <c r="F12" s="31">
        <f>+Transactions!J2</f>
        <v>131502.88166280524</v>
      </c>
      <c r="G12" s="32"/>
      <c r="H12" s="33"/>
      <c r="K12" s="34"/>
    </row>
    <row r="13" spans="2:19" ht="21.75" customHeight="1" x14ac:dyDescent="0.2">
      <c r="B13" s="35"/>
      <c r="C13" s="36" t="s">
        <v>40</v>
      </c>
      <c r="D13" s="37" t="s">
        <v>38</v>
      </c>
      <c r="E13" s="38">
        <f>Transactions!K3</f>
        <v>1.1251790663222052</v>
      </c>
      <c r="F13" s="33"/>
      <c r="G13" s="39"/>
      <c r="H13" s="40"/>
      <c r="K13" s="41"/>
    </row>
    <row r="14" spans="2:19" ht="21.75" customHeight="1" thickBot="1" x14ac:dyDescent="0.25">
      <c r="B14" s="16"/>
      <c r="C14" s="42"/>
      <c r="D14" s="43" t="s">
        <v>42</v>
      </c>
      <c r="E14" s="44"/>
      <c r="F14" s="45">
        <f>+Transactions!J3</f>
        <v>1.3376212393608571</v>
      </c>
      <c r="G14" s="46"/>
      <c r="H14" s="33"/>
      <c r="K14" s="34"/>
    </row>
    <row r="15" spans="2:19" x14ac:dyDescent="0.2">
      <c r="B15" s="21"/>
      <c r="E15" s="47"/>
      <c r="K15" s="41"/>
    </row>
    <row r="16" spans="2:19" x14ac:dyDescent="0.2">
      <c r="B16" s="35"/>
      <c r="C16" s="35"/>
      <c r="D16" s="48"/>
      <c r="E16" s="35"/>
      <c r="F16" s="49"/>
      <c r="G16" s="50"/>
      <c r="H16" s="50"/>
      <c r="K16" s="51"/>
      <c r="L16" s="47"/>
      <c r="N16" s="52"/>
      <c r="O16" s="53"/>
      <c r="P16" s="53"/>
      <c r="Q16" s="53"/>
      <c r="R16" s="53"/>
      <c r="S16" s="53"/>
    </row>
    <row r="17" spans="2:19" x14ac:dyDescent="0.2">
      <c r="C17" s="10"/>
      <c r="K17" s="41"/>
      <c r="N17" s="54"/>
      <c r="O17" s="53"/>
      <c r="P17" s="53"/>
      <c r="Q17" s="53"/>
      <c r="R17" s="53"/>
      <c r="S17" s="53"/>
    </row>
    <row r="18" spans="2:19" x14ac:dyDescent="0.2">
      <c r="C18" s="52"/>
      <c r="D18" s="52"/>
      <c r="E18" s="52"/>
      <c r="F18" s="52"/>
      <c r="G18" s="52"/>
      <c r="H18" s="52"/>
      <c r="I18" s="52"/>
      <c r="N18" s="52"/>
      <c r="O18" s="53"/>
      <c r="P18" s="53"/>
      <c r="Q18" s="53"/>
      <c r="R18" s="53"/>
      <c r="S18" s="53"/>
    </row>
    <row r="19" spans="2:19" ht="21" customHeight="1" thickBot="1" x14ac:dyDescent="0.25">
      <c r="C19" s="55" t="s">
        <v>31</v>
      </c>
      <c r="D19" s="55" t="s">
        <v>32</v>
      </c>
      <c r="E19" s="56" t="s">
        <v>33</v>
      </c>
      <c r="F19" s="56" t="s">
        <v>34</v>
      </c>
      <c r="G19" s="55" t="s">
        <v>35</v>
      </c>
      <c r="H19" s="55" t="s">
        <v>94</v>
      </c>
      <c r="I19" s="56" t="s">
        <v>93</v>
      </c>
      <c r="J19" s="231" t="s">
        <v>99</v>
      </c>
      <c r="K19" s="232" t="s">
        <v>100</v>
      </c>
      <c r="N19" s="52"/>
      <c r="O19" s="53"/>
      <c r="P19" s="53"/>
      <c r="Q19" s="53"/>
      <c r="R19" s="53"/>
      <c r="S19" s="53"/>
    </row>
    <row r="20" spans="2:19" ht="53.25" customHeight="1" x14ac:dyDescent="0.2">
      <c r="C20" s="57" t="s">
        <v>52</v>
      </c>
      <c r="D20" s="58" t="str">
        <f>"Actual Charge
("&amp;F8&amp;" True-Up)"</f>
        <v>Actual Charge
(2021 True-Up)</v>
      </c>
      <c r="E20" s="59" t="str">
        <f>"Invoiced for
CY"&amp;F8&amp;" Transmission Service"</f>
        <v>Invoiced for
CY2021 Transmission Service</v>
      </c>
      <c r="F20" s="58" t="s">
        <v>41</v>
      </c>
      <c r="G20" s="60" t="s">
        <v>7</v>
      </c>
      <c r="H20" s="60" t="s">
        <v>88</v>
      </c>
      <c r="I20" s="61" t="s">
        <v>46</v>
      </c>
      <c r="J20" s="233" t="s">
        <v>101</v>
      </c>
      <c r="K20" s="234" t="s">
        <v>102</v>
      </c>
      <c r="N20" s="52"/>
      <c r="O20" s="53"/>
      <c r="P20" s="53"/>
      <c r="Q20" s="53"/>
      <c r="R20" s="53"/>
      <c r="S20" s="53"/>
    </row>
    <row r="21" spans="2:19" x14ac:dyDescent="0.2">
      <c r="B21" s="62"/>
      <c r="C21" s="63" t="s">
        <v>14</v>
      </c>
      <c r="D21" s="64">
        <f>GETPIVOTDATA("Sum of "&amp;T(Transactions!$J$19),Pivot!$A$3,"Customer",C21)</f>
        <v>12128.211777284891</v>
      </c>
      <c r="E21" s="64">
        <f>GETPIVOTDATA("Sum of "&amp;T(Transactions!$K$19),Pivot!$A$3,"Customer",C21)</f>
        <v>10201.998594343435</v>
      </c>
      <c r="F21" s="64">
        <f>D21-E21</f>
        <v>1926.2131829414557</v>
      </c>
      <c r="G21" s="53">
        <f>+GETPIVOTDATA("Sum of "&amp;T(Transactions!$M$19),Pivot!$A$3,"Customer","AECC")</f>
        <v>60.016966431994142</v>
      </c>
      <c r="H21" s="53">
        <f>GETPIVOTDATA("Sum of "&amp;T(Transactions!$Q$19),Pivot!$A$3,"Customer","AECC")</f>
        <v>0</v>
      </c>
      <c r="I21" s="65">
        <f>F21+G21-H21</f>
        <v>1986.2301493734499</v>
      </c>
      <c r="J21" s="235"/>
      <c r="K21" s="236">
        <f>I21+J21</f>
        <v>1986.2301493734499</v>
      </c>
      <c r="L21" s="62"/>
      <c r="N21" s="52"/>
      <c r="O21" s="53"/>
      <c r="P21" s="53"/>
      <c r="Q21" s="53"/>
      <c r="R21" s="53"/>
      <c r="S21" s="53"/>
    </row>
    <row r="22" spans="2:19" x14ac:dyDescent="0.2">
      <c r="B22" s="62"/>
      <c r="C22" s="66" t="s">
        <v>85</v>
      </c>
      <c r="D22" s="64">
        <f>GETPIVOTDATA("Sum of "&amp;T(Transactions!$J$19),Pivot!$A$3,"Customer",C22)</f>
        <v>635.37008869640715</v>
      </c>
      <c r="E22" s="64">
        <f>GETPIVOTDATA("Sum of "&amp;T(Transactions!$K$19),Pivot!$A$3,"Customer",C22)</f>
        <v>534.46005650304755</v>
      </c>
      <c r="F22" s="64">
        <f>D22-E22</f>
        <v>100.9100321933596</v>
      </c>
      <c r="G22" s="53">
        <f>+GETPIVOTDATA("Sum of "&amp;T(Transactions!$M$19),Pivot!$A$3,"Customer","AECI")</f>
        <v>3.144155625366408</v>
      </c>
      <c r="H22" s="53">
        <f>GETPIVOTDATA("Sum of "&amp;T(Transactions!$Q$19),Pivot!$A$3,"Customer",C22)</f>
        <v>0</v>
      </c>
      <c r="I22" s="65">
        <f t="shared" ref="I22:I33" si="0">F22+G22-H22</f>
        <v>104.05418781872601</v>
      </c>
      <c r="J22" s="235"/>
      <c r="K22" s="236">
        <f t="shared" ref="K22:K39" si="1">I22+J22</f>
        <v>104.05418781872601</v>
      </c>
      <c r="L22" s="62"/>
      <c r="N22" s="52"/>
      <c r="O22" s="53"/>
      <c r="P22" s="53"/>
      <c r="Q22" s="53"/>
      <c r="R22" s="53"/>
      <c r="S22" s="53"/>
    </row>
    <row r="23" spans="2:19" x14ac:dyDescent="0.2">
      <c r="B23" s="62"/>
      <c r="C23" s="66" t="s">
        <v>56</v>
      </c>
      <c r="D23" s="64">
        <f>GETPIVOTDATA("Sum of "&amp;T(Transactions!$J$19),Pivot!$A$3,"Customer",C23)</f>
        <v>1910.1231298073039</v>
      </c>
      <c r="E23" s="64">
        <f>GETPIVOTDATA("Sum of "&amp;T(Transactions!$K$19),Pivot!$A$3,"Customer",C23)</f>
        <v>1606.7557067081088</v>
      </c>
      <c r="F23" s="64">
        <f t="shared" ref="F23:F35" si="2">D23-E23</f>
        <v>303.36742309919509</v>
      </c>
      <c r="G23" s="53">
        <f>+GETPIVOTDATA("Sum of "&amp;T(Transactions!$M$19),Pivot!$A$3,"Customer","Bentonville, AR")</f>
        <v>9.4523247011015386</v>
      </c>
      <c r="H23" s="53">
        <f>GETPIVOTDATA("Sum of "&amp;T(Transactions!$Q$19),Pivot!$A$3,"Customer",C23)</f>
        <v>0</v>
      </c>
      <c r="I23" s="65">
        <f t="shared" si="0"/>
        <v>312.81974780029662</v>
      </c>
      <c r="J23" s="235"/>
      <c r="K23" s="236">
        <f t="shared" si="1"/>
        <v>312.81974780029662</v>
      </c>
      <c r="L23" s="62"/>
      <c r="N23" s="52"/>
      <c r="O23" s="53"/>
      <c r="P23" s="53"/>
      <c r="Q23" s="53"/>
      <c r="R23" s="53"/>
      <c r="S23" s="53"/>
    </row>
    <row r="24" spans="2:19" x14ac:dyDescent="0.2">
      <c r="B24" s="62"/>
      <c r="C24" s="63" t="s">
        <v>17</v>
      </c>
      <c r="D24" s="64">
        <f>GETPIVOTDATA("Sum of "&amp;T(Transactions!$J$19),Pivot!$A$3,"Customer",C24)</f>
        <v>1686.7403828340412</v>
      </c>
      <c r="E24" s="64">
        <f>GETPIVOTDATA("Sum of "&amp;T(Transactions!$K$19),Pivot!$A$3,"Customer",C24)</f>
        <v>1418.8508026323007</v>
      </c>
      <c r="F24" s="64">
        <f t="shared" si="2"/>
        <v>267.8895802017405</v>
      </c>
      <c r="G24" s="53">
        <f>+GETPIVOTDATA("Sum of "&amp;T(Transactions!$M$19),Pivot!$A$3,"Customer","Coffeyville, KS")</f>
        <v>8.3469057759727185</v>
      </c>
      <c r="H24" s="53">
        <f>GETPIVOTDATA("Sum of "&amp;T(Transactions!$Q$19),Pivot!$A$3,"Customer",C24)</f>
        <v>0</v>
      </c>
      <c r="I24" s="65">
        <f t="shared" si="0"/>
        <v>276.23648597771324</v>
      </c>
      <c r="J24" s="235"/>
      <c r="K24" s="236">
        <f t="shared" si="1"/>
        <v>276.23648597771324</v>
      </c>
      <c r="L24" s="62"/>
      <c r="N24" s="52"/>
      <c r="O24" s="53"/>
      <c r="P24" s="53"/>
      <c r="Q24" s="53"/>
      <c r="R24" s="53"/>
      <c r="S24" s="53"/>
    </row>
    <row r="25" spans="2:19" x14ac:dyDescent="0.2">
      <c r="B25" s="62"/>
      <c r="C25" s="66" t="s">
        <v>13</v>
      </c>
      <c r="D25" s="64">
        <f>GETPIVOTDATA("Sum of "&amp;T(Transactions!$J$19),Pivot!$A$3,"Customer",C25)</f>
        <v>13402.964818395791</v>
      </c>
      <c r="E25" s="64">
        <f>GETPIVOTDATA("Sum of "&amp;T(Transactions!$K$19),Pivot!$A$3,"Customer",C25)</f>
        <v>11274.294244548493</v>
      </c>
      <c r="F25" s="64">
        <f t="shared" si="2"/>
        <v>2128.6705738472974</v>
      </c>
      <c r="G25" s="53">
        <f>+GETPIVOTDATA("Sum of "&amp;T(Transactions!$M$19),Pivot!$A$3,"Customer","ETEC")</f>
        <v>66.325135507729286</v>
      </c>
      <c r="H25" s="53">
        <f>GETPIVOTDATA("Sum of "&amp;T(Transactions!$Q$19),Pivot!$A$3,"Customer",C25)</f>
        <v>0</v>
      </c>
      <c r="I25" s="65">
        <f t="shared" si="0"/>
        <v>2194.9957093550265</v>
      </c>
      <c r="J25" s="235"/>
      <c r="K25" s="236">
        <f t="shared" si="1"/>
        <v>2194.9957093550265</v>
      </c>
      <c r="L25" s="62"/>
      <c r="N25" s="54"/>
      <c r="O25" s="53"/>
      <c r="P25" s="53"/>
      <c r="Q25" s="53"/>
      <c r="R25" s="53"/>
      <c r="S25" s="53"/>
    </row>
    <row r="26" spans="2:19" x14ac:dyDescent="0.2">
      <c r="B26" s="62"/>
      <c r="C26" s="63" t="s">
        <v>15</v>
      </c>
      <c r="D26" s="64">
        <f>GETPIVOTDATA("Sum of "&amp;T(Transactions!$J$19),Pivot!$A$3,"Customer",C26)</f>
        <v>145.80071509033343</v>
      </c>
      <c r="E26" s="64">
        <f>GETPIVOTDATA("Sum of "&amp;T(Transactions!$K$19),Pivot!$A$3,"Customer",C26)</f>
        <v>122.64451822912038</v>
      </c>
      <c r="F26" s="64">
        <f t="shared" si="2"/>
        <v>23.156196861213047</v>
      </c>
      <c r="G26" s="53">
        <f>+GETPIVOTDATA("Sum of "&amp;T(Transactions!$M$19),Pivot!$A$3,"Customer","Greenbelt")</f>
        <v>0.72150097508408084</v>
      </c>
      <c r="H26" s="53">
        <f>GETPIVOTDATA("Sum of "&amp;T(Transactions!$Q$19),Pivot!$A$3,"Customer",C26)</f>
        <v>0</v>
      </c>
      <c r="I26" s="65">
        <f t="shared" si="0"/>
        <v>23.877697836297127</v>
      </c>
      <c r="J26" s="235"/>
      <c r="K26" s="236">
        <f t="shared" si="1"/>
        <v>23.877697836297127</v>
      </c>
      <c r="L26" s="62"/>
      <c r="M26" s="67"/>
      <c r="N26" s="67"/>
      <c r="O26" s="67"/>
      <c r="P26" s="67"/>
      <c r="Q26" s="53"/>
      <c r="R26" s="53"/>
      <c r="S26" s="53"/>
    </row>
    <row r="27" spans="2:19" x14ac:dyDescent="0.2">
      <c r="B27" s="62"/>
      <c r="C27" s="63" t="s">
        <v>59</v>
      </c>
      <c r="D27" s="64">
        <f>GETPIVOTDATA("Sum of "&amp;T(Transactions!$J$19),Pivot!$A$3,"Customer",C27)</f>
        <v>632.69484621768538</v>
      </c>
      <c r="E27" s="64">
        <f>GETPIVOTDATA("Sum of "&amp;T(Transactions!$K$19),Pivot!$A$3,"Customer",C27)</f>
        <v>532.20969837040309</v>
      </c>
      <c r="F27" s="64">
        <f t="shared" si="2"/>
        <v>100.48514784728229</v>
      </c>
      <c r="G27" s="53">
        <f>+GETPIVOTDATA("Sum of "&amp;T(Transactions!$M$19),Pivot!$A$3,"Customer","Hope, AR")</f>
        <v>3.1309170753648656</v>
      </c>
      <c r="H27" s="53">
        <f>GETPIVOTDATA("Sum of "&amp;T(Transactions!$Q$19),Pivot!$A$3,"Customer",C27)</f>
        <v>0</v>
      </c>
      <c r="I27" s="65">
        <f t="shared" si="0"/>
        <v>103.61606492264715</v>
      </c>
      <c r="J27" s="235"/>
      <c r="K27" s="236">
        <f t="shared" si="1"/>
        <v>103.61606492264715</v>
      </c>
      <c r="L27" s="62"/>
      <c r="M27" s="67"/>
      <c r="N27" s="67"/>
      <c r="O27" s="67"/>
      <c r="P27" s="67"/>
      <c r="Q27" s="53"/>
      <c r="R27" s="53"/>
      <c r="S27" s="53"/>
    </row>
    <row r="28" spans="2:19" x14ac:dyDescent="0.2">
      <c r="B28" s="62"/>
      <c r="C28" s="63" t="s">
        <v>16</v>
      </c>
      <c r="D28" s="64">
        <f>GETPIVOTDATA("Sum of "&amp;T(Transactions!$J$19),Pivot!$A$3,"Customer",C28)</f>
        <v>61.530577010599423</v>
      </c>
      <c r="E28" s="64">
        <f>GETPIVOTDATA("Sum of "&amp;T(Transactions!$K$19),Pivot!$A$3,"Customer",C28)</f>
        <v>51.75823705082145</v>
      </c>
      <c r="F28" s="64">
        <f t="shared" si="2"/>
        <v>9.7723399597779732</v>
      </c>
      <c r="G28" s="53">
        <f>+GETPIVOTDATA("Sum of "&amp;T(Transactions!$M$19),Pivot!$A$3,"Customer","Lighthouse")</f>
        <v>0.3044866500354837</v>
      </c>
      <c r="H28" s="53">
        <f>GETPIVOTDATA("Sum of "&amp;T(Transactions!$Q$19),Pivot!$A$3,"Customer",C28)</f>
        <v>0</v>
      </c>
      <c r="I28" s="65">
        <f t="shared" si="0"/>
        <v>10.076826609813457</v>
      </c>
      <c r="J28" s="235"/>
      <c r="K28" s="236">
        <f t="shared" si="1"/>
        <v>10.076826609813457</v>
      </c>
      <c r="L28" s="62"/>
      <c r="N28" s="52"/>
      <c r="O28" s="53"/>
      <c r="P28" s="53"/>
      <c r="Q28" s="53"/>
      <c r="R28" s="53"/>
      <c r="S28" s="53"/>
    </row>
    <row r="29" spans="2:19" x14ac:dyDescent="0.2">
      <c r="B29" s="62"/>
      <c r="C29" s="66" t="s">
        <v>58</v>
      </c>
      <c r="D29" s="64">
        <f>GETPIVOTDATA("Sum of "&amp;T(Transactions!$J$19),Pivot!$A$3,"Customer",C29)</f>
        <v>410.6497204837832</v>
      </c>
      <c r="E29" s="64">
        <f>GETPIVOTDATA("Sum of "&amp;T(Transactions!$K$19),Pivot!$A$3,"Customer",C29)</f>
        <v>345.42997336091696</v>
      </c>
      <c r="F29" s="64">
        <f t="shared" si="2"/>
        <v>65.219747122866238</v>
      </c>
      <c r="G29" s="53">
        <f>+GETPIVOTDATA("Sum of "&amp;T(Transactions!$M$19),Pivot!$A$3,"Customer","Minden, LA")</f>
        <v>2.0321174252368155</v>
      </c>
      <c r="H29" s="53">
        <f>GETPIVOTDATA("Sum of "&amp;T(Transactions!$Q$19),Pivot!$A$3,"Customer",C29)</f>
        <v>0</v>
      </c>
      <c r="I29" s="65">
        <f t="shared" si="0"/>
        <v>67.251864548103057</v>
      </c>
      <c r="J29" s="235"/>
      <c r="K29" s="236">
        <f t="shared" si="1"/>
        <v>67.251864548103057</v>
      </c>
      <c r="L29" s="62"/>
      <c r="N29" s="52"/>
      <c r="O29" s="53"/>
      <c r="P29" s="53"/>
      <c r="Q29" s="53"/>
      <c r="R29" s="53"/>
      <c r="S29" s="53"/>
    </row>
    <row r="30" spans="2:19" x14ac:dyDescent="0.2">
      <c r="B30" s="62"/>
      <c r="C30" s="66" t="s">
        <v>19</v>
      </c>
      <c r="D30" s="64">
        <f>GETPIVOTDATA("Sum of "&amp;T(Transactions!$J$19),Pivot!$A$3,"Customer",C30)</f>
        <v>708.93925686125431</v>
      </c>
      <c r="E30" s="64">
        <f>GETPIVOTDATA("Sum of "&amp;T(Transactions!$K$19),Pivot!$A$3,"Customer",C30)</f>
        <v>596.3449051507688</v>
      </c>
      <c r="F30" s="64">
        <f t="shared" si="2"/>
        <v>112.59435171048551</v>
      </c>
      <c r="G30" s="53">
        <f>+GETPIVOTDATA("Sum of "&amp;T(Transactions!$M$19),Pivot!$A$3,"Customer","OG&amp;E")</f>
        <v>3.5082157504088345</v>
      </c>
      <c r="H30" s="53">
        <f>GETPIVOTDATA("Sum of "&amp;T(Transactions!$Q$19),Pivot!$A$3,"Customer",C30)</f>
        <v>0</v>
      </c>
      <c r="I30" s="65">
        <f t="shared" si="0"/>
        <v>116.10256746089435</v>
      </c>
      <c r="J30" s="235"/>
      <c r="K30" s="236">
        <f t="shared" si="1"/>
        <v>116.10256746089435</v>
      </c>
      <c r="L30" s="62"/>
    </row>
    <row r="31" spans="2:19" x14ac:dyDescent="0.2">
      <c r="B31" s="62"/>
      <c r="C31" s="63" t="s">
        <v>8</v>
      </c>
      <c r="D31" s="64">
        <f>GETPIVOTDATA("Sum of "&amp;T(Transactions!$J$19),Pivot!$A$3,"Customer",C31)</f>
        <v>1666.6760642436277</v>
      </c>
      <c r="E31" s="64">
        <f>GETPIVOTDATA("Sum of "&amp;T(Transactions!$K$19),Pivot!$A$3,"Customer",C31)</f>
        <v>1401.9731166374677</v>
      </c>
      <c r="F31" s="64">
        <f t="shared" si="2"/>
        <v>264.70294760616002</v>
      </c>
      <c r="G31" s="53">
        <f>+GETPIVOTDATA("Sum of "&amp;T(Transactions!$M$19),Pivot!$A$3,"Customer","OMPA")</f>
        <v>8.247616650961147</v>
      </c>
      <c r="H31" s="53">
        <f>GETPIVOTDATA("Sum of "&amp;T(Transactions!$Q$19),Pivot!$A$3,"Customer",C31)</f>
        <v>0</v>
      </c>
      <c r="I31" s="65">
        <f t="shared" si="0"/>
        <v>272.95056425712119</v>
      </c>
      <c r="J31" s="235"/>
      <c r="K31" s="236">
        <f t="shared" si="1"/>
        <v>272.95056425712119</v>
      </c>
      <c r="L31" s="62"/>
    </row>
    <row r="32" spans="2:19" x14ac:dyDescent="0.2">
      <c r="B32" s="62"/>
      <c r="C32" s="63" t="s">
        <v>57</v>
      </c>
      <c r="D32" s="64">
        <f>GETPIVOTDATA("Sum of "&amp;T(Transactions!$J$19),Pivot!$A$3,"Customer",C32)</f>
        <v>169.87789739882885</v>
      </c>
      <c r="E32" s="64">
        <f>GETPIVOTDATA("Sum of "&amp;T(Transactions!$K$19),Pivot!$A$3,"Customer",C32)</f>
        <v>142.89774142292003</v>
      </c>
      <c r="F32" s="64">
        <f t="shared" si="2"/>
        <v>26.980155975908815</v>
      </c>
      <c r="G32" s="53">
        <f>+GETPIVOTDATA("Sum of "&amp;T(Transactions!$M$19),Pivot!$A$3,"Customer","Prescott, AR")</f>
        <v>0.84064792509796604</v>
      </c>
      <c r="H32" s="53">
        <f>GETPIVOTDATA("Sum of "&amp;T(Transactions!$Q$19),Pivot!$A$3,"Customer",C32)</f>
        <v>0</v>
      </c>
      <c r="I32" s="65">
        <f t="shared" si="0"/>
        <v>27.82080390100678</v>
      </c>
      <c r="J32" s="235"/>
      <c r="K32" s="236">
        <f t="shared" si="1"/>
        <v>27.82080390100678</v>
      </c>
      <c r="L32" s="62"/>
    </row>
    <row r="33" spans="2:12" x14ac:dyDescent="0.2">
      <c r="B33" s="62"/>
      <c r="C33" s="68" t="s">
        <v>9</v>
      </c>
      <c r="D33" s="64">
        <f>GETPIVOTDATA("Sum of "&amp;T(Transactions!$J$19),Pivot!$A$3,"Customer",C33)</f>
        <v>660.78489224426335</v>
      </c>
      <c r="E33" s="64">
        <f>GETPIVOTDATA("Sum of "&amp;T(Transactions!$K$19),Pivot!$A$3,"Customer",C33)</f>
        <v>555.83845876316934</v>
      </c>
      <c r="F33" s="64">
        <f t="shared" si="2"/>
        <v>104.946433481094</v>
      </c>
      <c r="G33" s="53">
        <f>+GETPIVOTDATA("Sum of "&amp;T(Transactions!$M$19),Pivot!$A$3,"Customer","WFEC")</f>
        <v>3.2699218503810648</v>
      </c>
      <c r="H33" s="53">
        <f>GETPIVOTDATA("Sum of "&amp;T(Transactions!$Q$19),Pivot!$A$3,"Customer",C33)</f>
        <v>0</v>
      </c>
      <c r="I33" s="65">
        <f t="shared" si="0"/>
        <v>108.21635533147507</v>
      </c>
      <c r="J33" s="235"/>
      <c r="K33" s="236">
        <f t="shared" si="1"/>
        <v>108.21635533147507</v>
      </c>
      <c r="L33" s="62"/>
    </row>
    <row r="34" spans="2:12" ht="24" x14ac:dyDescent="0.2">
      <c r="C34" s="69" t="s">
        <v>44</v>
      </c>
      <c r="D34" s="70">
        <f t="shared" ref="D34:J34" si="3">SUM(D21:D33)</f>
        <v>34220.364166568812</v>
      </c>
      <c r="E34" s="70">
        <f t="shared" si="3"/>
        <v>28785.456053720976</v>
      </c>
      <c r="F34" s="70">
        <f t="shared" si="3"/>
        <v>5434.9081128478356</v>
      </c>
      <c r="G34" s="71">
        <f t="shared" si="3"/>
        <v>169.34091234473428</v>
      </c>
      <c r="H34" s="71">
        <f t="shared" si="3"/>
        <v>0</v>
      </c>
      <c r="I34" s="72">
        <f t="shared" si="3"/>
        <v>5604.249025192571</v>
      </c>
      <c r="J34" s="237">
        <f t="shared" si="3"/>
        <v>0</v>
      </c>
      <c r="K34" s="238">
        <f t="shared" si="1"/>
        <v>5604.249025192571</v>
      </c>
    </row>
    <row r="35" spans="2:12" x14ac:dyDescent="0.2">
      <c r="C35" s="73" t="s">
        <v>21</v>
      </c>
      <c r="D35" s="64">
        <f>GETPIVOTDATA("Sum of "&amp;T(Transactions!$J$19),Pivot!$A$3,"Customer",C35)</f>
        <v>48666.673551666063</v>
      </c>
      <c r="E35" s="64">
        <f>GETPIVOTDATA("Sum of "&amp;T(Transactions!$K$19),Pivot!$A$3,"Customer",C35)</f>
        <v>40937.389970000797</v>
      </c>
      <c r="F35" s="64">
        <f t="shared" si="2"/>
        <v>7729.283581665266</v>
      </c>
      <c r="G35" s="53">
        <f>+GETPIVOTDATA("Sum of "&amp;T(Transactions!$M$19),Pivot!$A$3,"Customer","PSO")</f>
        <v>240.8290823530653</v>
      </c>
      <c r="H35" s="53">
        <f>GETPIVOTDATA("Sum of "&amp;T(Transactions!$Q$19),Pivot!$A$3,"Customer",C35)</f>
        <v>0</v>
      </c>
      <c r="I35" s="65">
        <f>F35+G35-H35</f>
        <v>7970.1126640183311</v>
      </c>
      <c r="J35" s="235"/>
      <c r="K35" s="236">
        <f t="shared" si="1"/>
        <v>7970.1126640183311</v>
      </c>
    </row>
    <row r="36" spans="2:12" x14ac:dyDescent="0.2">
      <c r="C36" s="74" t="s">
        <v>22</v>
      </c>
      <c r="D36" s="64">
        <f>GETPIVOTDATA("Sum of "&amp;T(Transactions!$J$19),Pivot!$A$3,"Customer",C36)</f>
        <v>46553.231993475914</v>
      </c>
      <c r="E36" s="64">
        <f>GETPIVOTDATA("Sum of "&amp;T(Transactions!$K$19),Pivot!$A$3,"Customer",C36)</f>
        <v>39159.607045211706</v>
      </c>
      <c r="F36" s="64">
        <f>D36-E36</f>
        <v>7393.6249482642088</v>
      </c>
      <c r="G36" s="53">
        <f>+GETPIVOTDATA("Sum of "&amp;T(Transactions!$M$19),Pivot!$A$3,"Customer","SWEPCO")</f>
        <v>230.37062785184656</v>
      </c>
      <c r="H36" s="53">
        <f>GETPIVOTDATA("Sum of "&amp;T(Transactions!$Q$19),Pivot!$A$3,"Customer",C36)</f>
        <v>0</v>
      </c>
      <c r="I36" s="65">
        <f>F36+G36-H36</f>
        <v>7623.9955761160554</v>
      </c>
      <c r="J36" s="235"/>
      <c r="K36" s="236">
        <f t="shared" si="1"/>
        <v>7623.9955761160554</v>
      </c>
    </row>
    <row r="37" spans="2:12" x14ac:dyDescent="0.2">
      <c r="C37" s="75" t="s">
        <v>83</v>
      </c>
      <c r="D37" s="64">
        <f>GETPIVOTDATA("Sum of "&amp;T(Transactions!$J$19),Pivot!$A$3,"Customer",C37)</f>
        <v>2062.6119510944413</v>
      </c>
      <c r="E37" s="64">
        <f>GETPIVOTDATA("Sum of "&amp;T(Transactions!$K$19),Pivot!$A$3,"Customer",C37)</f>
        <v>1735.0261202688405</v>
      </c>
      <c r="F37" s="64">
        <f>D37-E37</f>
        <v>327.58583082560085</v>
      </c>
      <c r="G37" s="53">
        <f>+GETPIVOTDATA("Sum of "&amp;T(Transactions!$M$19),Pivot!$A$3,"Customer","SWEPCO-Valley")</f>
        <v>10.206922051189476</v>
      </c>
      <c r="H37" s="53">
        <f>GETPIVOTDATA("Sum of "&amp;T(Transactions!$Q$19),Pivot!$A$3,"Customer",C37)</f>
        <v>0</v>
      </c>
      <c r="I37" s="65">
        <f>F37+G37-H37</f>
        <v>337.7927528767903</v>
      </c>
      <c r="J37" s="235"/>
      <c r="K37" s="236">
        <f t="shared" si="1"/>
        <v>337.7927528767903</v>
      </c>
    </row>
    <row r="38" spans="2:12" ht="24" x14ac:dyDescent="0.2">
      <c r="C38" s="76" t="s">
        <v>53</v>
      </c>
      <c r="D38" s="77">
        <f t="shared" ref="D38:I38" si="4">SUM(D35:D37)</f>
        <v>97282.517496236425</v>
      </c>
      <c r="E38" s="77">
        <f t="shared" si="4"/>
        <v>81832.023135481344</v>
      </c>
      <c r="F38" s="77">
        <f t="shared" si="4"/>
        <v>15450.494360755076</v>
      </c>
      <c r="G38" s="78">
        <f t="shared" si="4"/>
        <v>481.40663225610132</v>
      </c>
      <c r="H38" s="78">
        <f t="shared" si="4"/>
        <v>0</v>
      </c>
      <c r="I38" s="79">
        <f t="shared" si="4"/>
        <v>15931.900993011177</v>
      </c>
      <c r="J38" s="239">
        <f>SUM(J35:J37)</f>
        <v>0</v>
      </c>
      <c r="K38" s="240">
        <f t="shared" si="1"/>
        <v>15931.900993011177</v>
      </c>
    </row>
    <row r="39" spans="2:12" ht="23.25" customHeight="1" thickBot="1" x14ac:dyDescent="0.25">
      <c r="C39" s="80" t="s">
        <v>45</v>
      </c>
      <c r="D39" s="81">
        <f t="shared" ref="D39:I39" si="5">SUM(D34,D38)</f>
        <v>131502.88166280524</v>
      </c>
      <c r="E39" s="82">
        <f t="shared" si="5"/>
        <v>110617.47918920232</v>
      </c>
      <c r="F39" s="81">
        <f t="shared" si="5"/>
        <v>20885.40247360291</v>
      </c>
      <c r="G39" s="82">
        <f t="shared" si="5"/>
        <v>650.74754460083557</v>
      </c>
      <c r="H39" s="82">
        <f t="shared" si="5"/>
        <v>0</v>
      </c>
      <c r="I39" s="83">
        <f t="shared" si="5"/>
        <v>21536.150018203749</v>
      </c>
      <c r="J39" s="241">
        <f>SUM(J34,J38)</f>
        <v>0</v>
      </c>
      <c r="K39" s="242">
        <f t="shared" si="1"/>
        <v>21536.150018203749</v>
      </c>
    </row>
    <row r="40" spans="2:12" x14ac:dyDescent="0.2">
      <c r="E40" s="52"/>
      <c r="F40" s="52"/>
      <c r="G40" s="52"/>
      <c r="H40" s="52"/>
    </row>
  </sheetData>
  <mergeCells count="4">
    <mergeCell ref="C1:I1"/>
    <mergeCell ref="C2:I2"/>
    <mergeCell ref="C3:I3"/>
    <mergeCell ref="C4:I4"/>
  </mergeCells>
  <phoneticPr fontId="6" type="noConversion"/>
  <printOptions horizontalCentered="1"/>
  <pageMargins left="0.5" right="0.75" top="0.9" bottom="0.53" header="0.5" footer="0.5"/>
  <pageSetup scale="69" orientation="portrait" horizontalDpi="1200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3:O123"/>
  <sheetViews>
    <sheetView zoomScale="85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D22" sqref="D22"/>
    </sheetView>
  </sheetViews>
  <sheetFormatPr defaultColWidth="8.7109375" defaultRowHeight="12.75" x14ac:dyDescent="0.2"/>
  <cols>
    <col min="1" max="1" width="19.140625" style="1" customWidth="1"/>
    <col min="2" max="2" width="28.5703125" style="1" bestFit="1" customWidth="1"/>
    <col min="3" max="14" width="15.42578125" style="1" bestFit="1" customWidth="1"/>
    <col min="15" max="15" width="10.5703125" style="1" bestFit="1" customWidth="1"/>
    <col min="16" max="16384" width="8.7109375" style="1"/>
  </cols>
  <sheetData>
    <row r="3" spans="1:15" x14ac:dyDescent="0.2">
      <c r="A3" s="84"/>
      <c r="B3" s="85"/>
      <c r="C3" s="86" t="s">
        <v>55</v>
      </c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7"/>
    </row>
    <row r="4" spans="1:15" x14ac:dyDescent="0.2">
      <c r="A4" s="86" t="s">
        <v>0</v>
      </c>
      <c r="B4" s="86" t="s">
        <v>24</v>
      </c>
      <c r="C4" s="88">
        <v>44197</v>
      </c>
      <c r="D4" s="89">
        <v>44228</v>
      </c>
      <c r="E4" s="89">
        <v>44256</v>
      </c>
      <c r="F4" s="89">
        <v>44287</v>
      </c>
      <c r="G4" s="89">
        <v>44317</v>
      </c>
      <c r="H4" s="89">
        <v>44348</v>
      </c>
      <c r="I4" s="89">
        <v>44378</v>
      </c>
      <c r="J4" s="89">
        <v>44409</v>
      </c>
      <c r="K4" s="89">
        <v>44440</v>
      </c>
      <c r="L4" s="89">
        <v>44470</v>
      </c>
      <c r="M4" s="89">
        <v>44501</v>
      </c>
      <c r="N4" s="89">
        <v>44531</v>
      </c>
      <c r="O4" s="90" t="s">
        <v>18</v>
      </c>
    </row>
    <row r="5" spans="1:15" x14ac:dyDescent="0.2">
      <c r="A5" s="84" t="s">
        <v>14</v>
      </c>
      <c r="B5" s="84" t="s">
        <v>72</v>
      </c>
      <c r="C5" s="91">
        <v>1025.9554905897774</v>
      </c>
      <c r="D5" s="92">
        <v>1420.5537562012303</v>
      </c>
      <c r="E5" s="92">
        <v>801.2351223771534</v>
      </c>
      <c r="F5" s="92">
        <v>597.91669399430316</v>
      </c>
      <c r="G5" s="92">
        <v>806.58560733459683</v>
      </c>
      <c r="H5" s="92">
        <v>1123.60184106312</v>
      </c>
      <c r="I5" s="92">
        <v>1238.6372676481537</v>
      </c>
      <c r="J5" s="92">
        <v>1261.3768287172882</v>
      </c>
      <c r="K5" s="92">
        <v>1221.2481915364626</v>
      </c>
      <c r="L5" s="92">
        <v>910.92006400474372</v>
      </c>
      <c r="M5" s="92">
        <v>872.12904806327879</v>
      </c>
      <c r="N5" s="92">
        <v>848.05186575478342</v>
      </c>
      <c r="O5" s="93">
        <v>12128.211777284891</v>
      </c>
    </row>
    <row r="6" spans="1:15" x14ac:dyDescent="0.2">
      <c r="A6" s="220"/>
      <c r="B6" s="94" t="s">
        <v>25</v>
      </c>
      <c r="C6" s="224">
        <v>162.94314672064593</v>
      </c>
      <c r="D6" s="225">
        <v>225.61358776704833</v>
      </c>
      <c r="E6" s="225">
        <v>127.25286165015245</v>
      </c>
      <c r="F6" s="225">
        <v>94.961651348277428</v>
      </c>
      <c r="G6" s="225">
        <v>128.10263034230707</v>
      </c>
      <c r="H6" s="225">
        <v>178.4514253524676</v>
      </c>
      <c r="I6" s="225">
        <v>196.72145223379175</v>
      </c>
      <c r="J6" s="225">
        <v>200.33296917544862</v>
      </c>
      <c r="K6" s="225">
        <v>193.95970398428926</v>
      </c>
      <c r="L6" s="225">
        <v>144.673119839322</v>
      </c>
      <c r="M6" s="225">
        <v>138.51229682120095</v>
      </c>
      <c r="N6" s="225">
        <v>134.68833770650531</v>
      </c>
      <c r="O6" s="226">
        <v>1926.2131829414568</v>
      </c>
    </row>
    <row r="7" spans="1:15" x14ac:dyDescent="0.2">
      <c r="A7" s="220"/>
      <c r="B7" s="94" t="s">
        <v>26</v>
      </c>
      <c r="C7" s="224">
        <v>5.0769839255916525</v>
      </c>
      <c r="D7" s="225">
        <v>7.0296700508192114</v>
      </c>
      <c r="E7" s="225">
        <v>3.9649457254620599</v>
      </c>
      <c r="F7" s="225">
        <v>2.9588159253448092</v>
      </c>
      <c r="G7" s="225">
        <v>3.9914228254651452</v>
      </c>
      <c r="H7" s="225">
        <v>5.560191000647964</v>
      </c>
      <c r="I7" s="225">
        <v>6.129448650714302</v>
      </c>
      <c r="J7" s="225">
        <v>6.2419763257274168</v>
      </c>
      <c r="K7" s="225">
        <v>6.0433980757042747</v>
      </c>
      <c r="L7" s="225">
        <v>4.5077262755253136</v>
      </c>
      <c r="M7" s="225">
        <v>4.3157673005029435</v>
      </c>
      <c r="N7" s="225">
        <v>4.1966203504890585</v>
      </c>
      <c r="O7" s="226">
        <v>60.016966431994142</v>
      </c>
    </row>
    <row r="8" spans="1:15" x14ac:dyDescent="0.2">
      <c r="A8" s="220"/>
      <c r="B8" s="94" t="s">
        <v>27</v>
      </c>
      <c r="C8" s="224">
        <v>168.02013064623759</v>
      </c>
      <c r="D8" s="225">
        <v>232.64325781786755</v>
      </c>
      <c r="E8" s="225">
        <v>131.21780737561451</v>
      </c>
      <c r="F8" s="225">
        <v>97.920467273622236</v>
      </c>
      <c r="G8" s="225">
        <v>132.09405316777222</v>
      </c>
      <c r="H8" s="225">
        <v>184.01161635311556</v>
      </c>
      <c r="I8" s="225">
        <v>202.85090088450605</v>
      </c>
      <c r="J8" s="225">
        <v>206.57494550117605</v>
      </c>
      <c r="K8" s="225">
        <v>200.00310205999352</v>
      </c>
      <c r="L8" s="225">
        <v>149.1808461148473</v>
      </c>
      <c r="M8" s="225">
        <v>142.8280641217039</v>
      </c>
      <c r="N8" s="225">
        <v>138.88495805699438</v>
      </c>
      <c r="O8" s="226">
        <v>1986.2301493734508</v>
      </c>
    </row>
    <row r="9" spans="1:15" x14ac:dyDescent="0.2">
      <c r="A9" s="220"/>
      <c r="B9" s="94" t="s">
        <v>51</v>
      </c>
      <c r="C9" s="95">
        <v>863.01234386913143</v>
      </c>
      <c r="D9" s="96">
        <v>1194.9401684341819</v>
      </c>
      <c r="E9" s="96">
        <v>673.98226072700095</v>
      </c>
      <c r="F9" s="96">
        <v>502.95504264602573</v>
      </c>
      <c r="G9" s="96">
        <v>678.48297699228976</v>
      </c>
      <c r="H9" s="96">
        <v>945.1504157106524</v>
      </c>
      <c r="I9" s="96">
        <v>1041.915815414362</v>
      </c>
      <c r="J9" s="96">
        <v>1061.0438595418395</v>
      </c>
      <c r="K9" s="96">
        <v>1027.2884875521734</v>
      </c>
      <c r="L9" s="96">
        <v>766.24694416542172</v>
      </c>
      <c r="M9" s="96">
        <v>733.61675124207784</v>
      </c>
      <c r="N9" s="96">
        <v>713.36352804827811</v>
      </c>
      <c r="O9" s="97">
        <v>10201.998594343435</v>
      </c>
    </row>
    <row r="10" spans="1:15" x14ac:dyDescent="0.2">
      <c r="A10" s="220"/>
      <c r="B10" s="94" t="s">
        <v>89</v>
      </c>
      <c r="C10" s="95">
        <v>0</v>
      </c>
      <c r="D10" s="96">
        <v>0</v>
      </c>
      <c r="E10" s="96">
        <v>0</v>
      </c>
      <c r="F10" s="96">
        <v>0</v>
      </c>
      <c r="G10" s="96">
        <v>0</v>
      </c>
      <c r="H10" s="96">
        <v>0</v>
      </c>
      <c r="I10" s="96">
        <v>0</v>
      </c>
      <c r="J10" s="96">
        <v>0</v>
      </c>
      <c r="K10" s="96">
        <v>0</v>
      </c>
      <c r="L10" s="96">
        <v>0</v>
      </c>
      <c r="M10" s="96">
        <v>0</v>
      </c>
      <c r="N10" s="96">
        <v>0</v>
      </c>
      <c r="O10" s="97">
        <v>0</v>
      </c>
    </row>
    <row r="11" spans="1:15" x14ac:dyDescent="0.2">
      <c r="A11" s="220"/>
      <c r="B11" s="94" t="s">
        <v>91</v>
      </c>
      <c r="C11" s="95">
        <v>0</v>
      </c>
      <c r="D11" s="96">
        <v>0</v>
      </c>
      <c r="E11" s="96">
        <v>0</v>
      </c>
      <c r="F11" s="96">
        <v>0</v>
      </c>
      <c r="G11" s="96">
        <v>0</v>
      </c>
      <c r="H11" s="96">
        <v>0</v>
      </c>
      <c r="I11" s="96">
        <v>0</v>
      </c>
      <c r="J11" s="96">
        <v>0</v>
      </c>
      <c r="K11" s="96">
        <v>0</v>
      </c>
      <c r="L11" s="96">
        <v>0</v>
      </c>
      <c r="M11" s="96">
        <v>0</v>
      </c>
      <c r="N11" s="96">
        <v>0</v>
      </c>
      <c r="O11" s="97">
        <v>0</v>
      </c>
    </row>
    <row r="12" spans="1:15" x14ac:dyDescent="0.2">
      <c r="A12" s="84" t="s">
        <v>17</v>
      </c>
      <c r="B12" s="84" t="s">
        <v>72</v>
      </c>
      <c r="C12" s="91">
        <v>125.73639649992056</v>
      </c>
      <c r="D12" s="92">
        <v>133.76212393608571</v>
      </c>
      <c r="E12" s="92">
        <v>135.09974517544657</v>
      </c>
      <c r="F12" s="92">
        <v>131.086881457364</v>
      </c>
      <c r="G12" s="92">
        <v>132.42450269672486</v>
      </c>
      <c r="H12" s="92">
        <v>151.15120004777685</v>
      </c>
      <c r="I12" s="92">
        <v>155.16406376585942</v>
      </c>
      <c r="J12" s="92">
        <v>155.16406376585942</v>
      </c>
      <c r="K12" s="92">
        <v>155.16406376585942</v>
      </c>
      <c r="L12" s="92">
        <v>140.45023013289</v>
      </c>
      <c r="M12" s="92">
        <v>133.76212393608571</v>
      </c>
      <c r="N12" s="92">
        <v>137.77498765416829</v>
      </c>
      <c r="O12" s="93">
        <v>1686.7403828340412</v>
      </c>
    </row>
    <row r="13" spans="1:15" x14ac:dyDescent="0.2">
      <c r="A13" s="220"/>
      <c r="B13" s="94" t="s">
        <v>25</v>
      </c>
      <c r="C13" s="224">
        <v>19.969564265633267</v>
      </c>
      <c r="D13" s="225">
        <v>21.244217303865199</v>
      </c>
      <c r="E13" s="225">
        <v>21.456659476903852</v>
      </c>
      <c r="F13" s="225">
        <v>20.819332957787893</v>
      </c>
      <c r="G13" s="225">
        <v>21.031775130826546</v>
      </c>
      <c r="H13" s="225">
        <v>24.005965553367659</v>
      </c>
      <c r="I13" s="225">
        <v>24.643292072483632</v>
      </c>
      <c r="J13" s="225">
        <v>24.643292072483632</v>
      </c>
      <c r="K13" s="225">
        <v>24.643292072483632</v>
      </c>
      <c r="L13" s="225">
        <v>22.306428169058449</v>
      </c>
      <c r="M13" s="225">
        <v>21.244217303865199</v>
      </c>
      <c r="N13" s="225">
        <v>21.881543822981143</v>
      </c>
      <c r="O13" s="226">
        <v>267.8895802017401</v>
      </c>
    </row>
    <row r="14" spans="1:15" x14ac:dyDescent="0.2">
      <c r="A14" s="220"/>
      <c r="B14" s="94" t="s">
        <v>26</v>
      </c>
      <c r="C14" s="224">
        <v>0.62221185007251023</v>
      </c>
      <c r="D14" s="225">
        <v>0.66192750007713863</v>
      </c>
      <c r="E14" s="225">
        <v>0.66854677507790994</v>
      </c>
      <c r="F14" s="225">
        <v>0.64868895007559579</v>
      </c>
      <c r="G14" s="225">
        <v>0.65530822507636721</v>
      </c>
      <c r="H14" s="225">
        <v>0.74797807508716663</v>
      </c>
      <c r="I14" s="225">
        <v>0.76783590008948077</v>
      </c>
      <c r="J14" s="225">
        <v>0.76783590008948077</v>
      </c>
      <c r="K14" s="225">
        <v>0.76783590008948077</v>
      </c>
      <c r="L14" s="225">
        <v>0.6950238750809955</v>
      </c>
      <c r="M14" s="225">
        <v>0.66192750007713863</v>
      </c>
      <c r="N14" s="225">
        <v>0.68178532507945278</v>
      </c>
      <c r="O14" s="226">
        <v>8.3469057759727185</v>
      </c>
    </row>
    <row r="15" spans="1:15" x14ac:dyDescent="0.2">
      <c r="A15" s="220"/>
      <c r="B15" s="94" t="s">
        <v>27</v>
      </c>
      <c r="C15" s="224">
        <v>20.591776115705777</v>
      </c>
      <c r="D15" s="225">
        <v>21.906144803942336</v>
      </c>
      <c r="E15" s="225">
        <v>22.125206251981762</v>
      </c>
      <c r="F15" s="225">
        <v>21.468021907863488</v>
      </c>
      <c r="G15" s="225">
        <v>21.687083355902914</v>
      </c>
      <c r="H15" s="225">
        <v>24.753943628454827</v>
      </c>
      <c r="I15" s="225">
        <v>25.411127972573112</v>
      </c>
      <c r="J15" s="225">
        <v>25.411127972573112</v>
      </c>
      <c r="K15" s="225">
        <v>25.411127972573112</v>
      </c>
      <c r="L15" s="225">
        <v>23.001452044139445</v>
      </c>
      <c r="M15" s="225">
        <v>21.906144803942336</v>
      </c>
      <c r="N15" s="225">
        <v>22.563329148060596</v>
      </c>
      <c r="O15" s="226">
        <v>276.23648597771285</v>
      </c>
    </row>
    <row r="16" spans="1:15" x14ac:dyDescent="0.2">
      <c r="A16" s="220"/>
      <c r="B16" s="94" t="s">
        <v>51</v>
      </c>
      <c r="C16" s="95">
        <v>105.76683223428729</v>
      </c>
      <c r="D16" s="96">
        <v>112.51790663222052</v>
      </c>
      <c r="E16" s="96">
        <v>113.64308569854272</v>
      </c>
      <c r="F16" s="96">
        <v>110.26754849957611</v>
      </c>
      <c r="G16" s="96">
        <v>111.39272756589831</v>
      </c>
      <c r="H16" s="96">
        <v>127.14523449440919</v>
      </c>
      <c r="I16" s="96">
        <v>130.52077169337579</v>
      </c>
      <c r="J16" s="96">
        <v>130.52077169337579</v>
      </c>
      <c r="K16" s="96">
        <v>130.52077169337579</v>
      </c>
      <c r="L16" s="96">
        <v>118.14380196383155</v>
      </c>
      <c r="M16" s="96">
        <v>112.51790663222052</v>
      </c>
      <c r="N16" s="96">
        <v>115.89344383118714</v>
      </c>
      <c r="O16" s="97">
        <v>1418.8508026323007</v>
      </c>
    </row>
    <row r="17" spans="1:15" x14ac:dyDescent="0.2">
      <c r="A17" s="220"/>
      <c r="B17" s="94" t="s">
        <v>89</v>
      </c>
      <c r="C17" s="95">
        <v>0</v>
      </c>
      <c r="D17" s="96">
        <v>0</v>
      </c>
      <c r="E17" s="96">
        <v>0</v>
      </c>
      <c r="F17" s="96">
        <v>0</v>
      </c>
      <c r="G17" s="96">
        <v>0</v>
      </c>
      <c r="H17" s="96">
        <v>0</v>
      </c>
      <c r="I17" s="96">
        <v>0</v>
      </c>
      <c r="J17" s="96">
        <v>0</v>
      </c>
      <c r="K17" s="96">
        <v>0</v>
      </c>
      <c r="L17" s="96">
        <v>0</v>
      </c>
      <c r="M17" s="96">
        <v>0</v>
      </c>
      <c r="N17" s="96">
        <v>0</v>
      </c>
      <c r="O17" s="97">
        <v>0</v>
      </c>
    </row>
    <row r="18" spans="1:15" x14ac:dyDescent="0.2">
      <c r="A18" s="220"/>
      <c r="B18" s="94" t="s">
        <v>91</v>
      </c>
      <c r="C18" s="95">
        <v>0</v>
      </c>
      <c r="D18" s="96">
        <v>0</v>
      </c>
      <c r="E18" s="96">
        <v>0</v>
      </c>
      <c r="F18" s="96">
        <v>0</v>
      </c>
      <c r="G18" s="96">
        <v>0</v>
      </c>
      <c r="H18" s="96">
        <v>0</v>
      </c>
      <c r="I18" s="96">
        <v>0</v>
      </c>
      <c r="J18" s="96">
        <v>0</v>
      </c>
      <c r="K18" s="96">
        <v>0</v>
      </c>
      <c r="L18" s="96">
        <v>0</v>
      </c>
      <c r="M18" s="96">
        <v>0</v>
      </c>
      <c r="N18" s="96">
        <v>0</v>
      </c>
      <c r="O18" s="97">
        <v>0</v>
      </c>
    </row>
    <row r="19" spans="1:15" x14ac:dyDescent="0.2">
      <c r="A19" s="84" t="s">
        <v>13</v>
      </c>
      <c r="B19" s="84" t="s">
        <v>72</v>
      </c>
      <c r="C19" s="91">
        <v>1301.5054658981139</v>
      </c>
      <c r="D19" s="92">
        <v>1789.7372182648269</v>
      </c>
      <c r="E19" s="92">
        <v>1056.7207790950772</v>
      </c>
      <c r="F19" s="92">
        <v>755.75600023888421</v>
      </c>
      <c r="G19" s="92">
        <v>850.72710823350508</v>
      </c>
      <c r="H19" s="92">
        <v>1130.2899472599242</v>
      </c>
      <c r="I19" s="92">
        <v>1199.8462517066889</v>
      </c>
      <c r="J19" s="92">
        <v>1202.5214941854106</v>
      </c>
      <c r="K19" s="92">
        <v>1209.2096003822148</v>
      </c>
      <c r="L19" s="92">
        <v>916.27054896218715</v>
      </c>
      <c r="M19" s="92">
        <v>960.4120498610954</v>
      </c>
      <c r="N19" s="92">
        <v>1029.96835430786</v>
      </c>
      <c r="O19" s="93">
        <v>13402.964818395791</v>
      </c>
    </row>
    <row r="20" spans="1:15" x14ac:dyDescent="0.2">
      <c r="A20" s="220"/>
      <c r="B20" s="94" t="s">
        <v>25</v>
      </c>
      <c r="C20" s="224">
        <v>206.70623436660821</v>
      </c>
      <c r="D20" s="225">
        <v>284.24762752571633</v>
      </c>
      <c r="E20" s="225">
        <v>167.82931670053506</v>
      </c>
      <c r="F20" s="225">
        <v>120.02982776683825</v>
      </c>
      <c r="G20" s="225">
        <v>135.11322205258261</v>
      </c>
      <c r="H20" s="225">
        <v>179.51363621766086</v>
      </c>
      <c r="I20" s="225">
        <v>190.56062921567082</v>
      </c>
      <c r="J20" s="225">
        <v>190.98551356174812</v>
      </c>
      <c r="K20" s="225">
        <v>192.04772442694127</v>
      </c>
      <c r="L20" s="225">
        <v>145.52288853147661</v>
      </c>
      <c r="M20" s="225">
        <v>152.53348024175205</v>
      </c>
      <c r="N20" s="225">
        <v>163.58047323976189</v>
      </c>
      <c r="O20" s="226">
        <v>2128.6705738472924</v>
      </c>
    </row>
    <row r="21" spans="1:15" x14ac:dyDescent="0.2">
      <c r="A21" s="220"/>
      <c r="B21" s="94" t="s">
        <v>26</v>
      </c>
      <c r="C21" s="224">
        <v>6.440554575750558</v>
      </c>
      <c r="D21" s="225">
        <v>8.8565899510321149</v>
      </c>
      <c r="E21" s="225">
        <v>5.2292272506093944</v>
      </c>
      <c r="F21" s="225">
        <v>3.7398903754358326</v>
      </c>
      <c r="G21" s="225">
        <v>4.2098589004906009</v>
      </c>
      <c r="H21" s="225">
        <v>5.5932873756518209</v>
      </c>
      <c r="I21" s="225">
        <v>5.9374896756919329</v>
      </c>
      <c r="J21" s="225">
        <v>5.9507282256934761</v>
      </c>
      <c r="K21" s="225">
        <v>5.983824600697333</v>
      </c>
      <c r="L21" s="225">
        <v>4.5342033755283992</v>
      </c>
      <c r="M21" s="225">
        <v>4.7526394505538549</v>
      </c>
      <c r="N21" s="225">
        <v>5.0968417505939669</v>
      </c>
      <c r="O21" s="226">
        <v>66.325135507729286</v>
      </c>
    </row>
    <row r="22" spans="1:15" x14ac:dyDescent="0.2">
      <c r="A22" s="220"/>
      <c r="B22" s="94" t="s">
        <v>27</v>
      </c>
      <c r="C22" s="224">
        <v>213.14678894235877</v>
      </c>
      <c r="D22" s="225">
        <v>293.10421747674843</v>
      </c>
      <c r="E22" s="225">
        <v>173.05854395114446</v>
      </c>
      <c r="F22" s="225">
        <v>123.76971814227409</v>
      </c>
      <c r="G22" s="225">
        <v>139.3230809530732</v>
      </c>
      <c r="H22" s="225">
        <v>185.10692359331267</v>
      </c>
      <c r="I22" s="225">
        <v>196.49811889136274</v>
      </c>
      <c r="J22" s="225">
        <v>196.93624178744159</v>
      </c>
      <c r="K22" s="225">
        <v>198.03154902763862</v>
      </c>
      <c r="L22" s="225">
        <v>150.057091907005</v>
      </c>
      <c r="M22" s="225">
        <v>157.2861196923059</v>
      </c>
      <c r="N22" s="225">
        <v>168.67731499035585</v>
      </c>
      <c r="O22" s="226">
        <v>2194.9957093550215</v>
      </c>
    </row>
    <row r="23" spans="1:15" x14ac:dyDescent="0.2">
      <c r="A23" s="220"/>
      <c r="B23" s="94" t="s">
        <v>51</v>
      </c>
      <c r="C23" s="95">
        <v>1094.7992315315057</v>
      </c>
      <c r="D23" s="96">
        <v>1505.4895907391106</v>
      </c>
      <c r="E23" s="96">
        <v>888.89146239454215</v>
      </c>
      <c r="F23" s="96">
        <v>635.72617247204596</v>
      </c>
      <c r="G23" s="96">
        <v>715.61388618092246</v>
      </c>
      <c r="H23" s="96">
        <v>950.77631104226339</v>
      </c>
      <c r="I23" s="96">
        <v>1009.2856224910181</v>
      </c>
      <c r="J23" s="96">
        <v>1011.5359806236625</v>
      </c>
      <c r="K23" s="96">
        <v>1017.1618759552736</v>
      </c>
      <c r="L23" s="96">
        <v>770.74766043071054</v>
      </c>
      <c r="M23" s="96">
        <v>807.87856961934335</v>
      </c>
      <c r="N23" s="96">
        <v>866.38788106809807</v>
      </c>
      <c r="O23" s="97">
        <v>11274.294244548493</v>
      </c>
    </row>
    <row r="24" spans="1:15" x14ac:dyDescent="0.2">
      <c r="A24" s="220"/>
      <c r="B24" s="94" t="s">
        <v>89</v>
      </c>
      <c r="C24" s="95">
        <v>0</v>
      </c>
      <c r="D24" s="96">
        <v>0</v>
      </c>
      <c r="E24" s="96">
        <v>0</v>
      </c>
      <c r="F24" s="96">
        <v>0</v>
      </c>
      <c r="G24" s="96">
        <v>0</v>
      </c>
      <c r="H24" s="96">
        <v>0</v>
      </c>
      <c r="I24" s="96">
        <v>0</v>
      </c>
      <c r="J24" s="96">
        <v>0</v>
      </c>
      <c r="K24" s="96">
        <v>0</v>
      </c>
      <c r="L24" s="96">
        <v>0</v>
      </c>
      <c r="M24" s="96">
        <v>0</v>
      </c>
      <c r="N24" s="96">
        <v>0</v>
      </c>
      <c r="O24" s="97">
        <v>0</v>
      </c>
    </row>
    <row r="25" spans="1:15" x14ac:dyDescent="0.2">
      <c r="A25" s="220"/>
      <c r="B25" s="94" t="s">
        <v>91</v>
      </c>
      <c r="C25" s="95">
        <v>0</v>
      </c>
      <c r="D25" s="96">
        <v>0</v>
      </c>
      <c r="E25" s="96">
        <v>0</v>
      </c>
      <c r="F25" s="96">
        <v>0</v>
      </c>
      <c r="G25" s="96">
        <v>0</v>
      </c>
      <c r="H25" s="96">
        <v>0</v>
      </c>
      <c r="I25" s="96">
        <v>0</v>
      </c>
      <c r="J25" s="96">
        <v>0</v>
      </c>
      <c r="K25" s="96">
        <v>0</v>
      </c>
      <c r="L25" s="96">
        <v>0</v>
      </c>
      <c r="M25" s="96">
        <v>0</v>
      </c>
      <c r="N25" s="96">
        <v>0</v>
      </c>
      <c r="O25" s="97">
        <v>0</v>
      </c>
    </row>
    <row r="26" spans="1:15" x14ac:dyDescent="0.2">
      <c r="A26" s="84" t="s">
        <v>15</v>
      </c>
      <c r="B26" s="84" t="s">
        <v>72</v>
      </c>
      <c r="C26" s="91">
        <v>9.3633486755259998</v>
      </c>
      <c r="D26" s="92">
        <v>10.700969914886857</v>
      </c>
      <c r="E26" s="92">
        <v>6.6881061968042852</v>
      </c>
      <c r="F26" s="92">
        <v>8.0257274361651429</v>
      </c>
      <c r="G26" s="92">
        <v>5.3504849574434283</v>
      </c>
      <c r="H26" s="92">
        <v>17.389076111691143</v>
      </c>
      <c r="I26" s="92">
        <v>22.73956106913457</v>
      </c>
      <c r="J26" s="92">
        <v>22.73956106913457</v>
      </c>
      <c r="K26" s="92">
        <v>21.401939829773713</v>
      </c>
      <c r="L26" s="92">
        <v>6.6881061968042852</v>
      </c>
      <c r="M26" s="92">
        <v>6.6881061968042852</v>
      </c>
      <c r="N26" s="92">
        <v>8.0257274361651429</v>
      </c>
      <c r="O26" s="93">
        <v>145.80071509033343</v>
      </c>
    </row>
    <row r="27" spans="1:15" x14ac:dyDescent="0.2">
      <c r="A27" s="220"/>
      <c r="B27" s="94" t="s">
        <v>25</v>
      </c>
      <c r="C27" s="224">
        <v>1.4870952112705638</v>
      </c>
      <c r="D27" s="225">
        <v>1.699537384309215</v>
      </c>
      <c r="E27" s="225">
        <v>1.0622108651932587</v>
      </c>
      <c r="F27" s="225">
        <v>1.2746530382319117</v>
      </c>
      <c r="G27" s="225">
        <v>0.84976869215460749</v>
      </c>
      <c r="H27" s="225">
        <v>2.7617482495024746</v>
      </c>
      <c r="I27" s="225">
        <v>3.6115169416570829</v>
      </c>
      <c r="J27" s="225">
        <v>3.6115169416570829</v>
      </c>
      <c r="K27" s="225">
        <v>3.3990747686184299</v>
      </c>
      <c r="L27" s="225">
        <v>1.0622108651932587</v>
      </c>
      <c r="M27" s="225">
        <v>1.0622108651932587</v>
      </c>
      <c r="N27" s="225">
        <v>1.2746530382319117</v>
      </c>
      <c r="O27" s="226">
        <v>23.156196861213054</v>
      </c>
    </row>
    <row r="28" spans="1:15" x14ac:dyDescent="0.2">
      <c r="A28" s="220"/>
      <c r="B28" s="94" t="s">
        <v>26</v>
      </c>
      <c r="C28" s="224">
        <v>4.6334925005399701E-2</v>
      </c>
      <c r="D28" s="225">
        <v>5.2954200006171084E-2</v>
      </c>
      <c r="E28" s="225">
        <v>3.3096375003856926E-2</v>
      </c>
      <c r="F28" s="225">
        <v>3.971565000462831E-2</v>
      </c>
      <c r="G28" s="225">
        <v>2.6477100003085542E-2</v>
      </c>
      <c r="H28" s="225">
        <v>8.605057501002801E-2</v>
      </c>
      <c r="I28" s="225">
        <v>0.11252767501311356</v>
      </c>
      <c r="J28" s="225">
        <v>0.11252767501311356</v>
      </c>
      <c r="K28" s="225">
        <v>0.10590840001234217</v>
      </c>
      <c r="L28" s="225">
        <v>3.3096375003856926E-2</v>
      </c>
      <c r="M28" s="225">
        <v>3.3096375003856926E-2</v>
      </c>
      <c r="N28" s="225">
        <v>3.971565000462831E-2</v>
      </c>
      <c r="O28" s="226">
        <v>0.72150097508408084</v>
      </c>
    </row>
    <row r="29" spans="1:15" x14ac:dyDescent="0.2">
      <c r="A29" s="220"/>
      <c r="B29" s="94" t="s">
        <v>27</v>
      </c>
      <c r="C29" s="224">
        <v>1.5334301362759635</v>
      </c>
      <c r="D29" s="225">
        <v>1.7524915843153861</v>
      </c>
      <c r="E29" s="225">
        <v>1.0953072401971156</v>
      </c>
      <c r="F29" s="225">
        <v>1.31436868823654</v>
      </c>
      <c r="G29" s="225">
        <v>0.87624579215769305</v>
      </c>
      <c r="H29" s="225">
        <v>2.8477988245125028</v>
      </c>
      <c r="I29" s="225">
        <v>3.7240446166701964</v>
      </c>
      <c r="J29" s="225">
        <v>3.7240446166701964</v>
      </c>
      <c r="K29" s="225">
        <v>3.5049831686307722</v>
      </c>
      <c r="L29" s="225">
        <v>1.0953072401971156</v>
      </c>
      <c r="M29" s="225">
        <v>1.0953072401971156</v>
      </c>
      <c r="N29" s="225">
        <v>1.31436868823654</v>
      </c>
      <c r="O29" s="226">
        <v>23.877697836297138</v>
      </c>
    </row>
    <row r="30" spans="1:15" x14ac:dyDescent="0.2">
      <c r="A30" s="220"/>
      <c r="B30" s="94" t="s">
        <v>51</v>
      </c>
      <c r="C30" s="95">
        <v>7.876253464255436</v>
      </c>
      <c r="D30" s="96">
        <v>9.0014325305776417</v>
      </c>
      <c r="E30" s="96">
        <v>5.6258953316110265</v>
      </c>
      <c r="F30" s="96">
        <v>6.7510743979332313</v>
      </c>
      <c r="G30" s="96">
        <v>4.5007162652888208</v>
      </c>
      <c r="H30" s="96">
        <v>14.627327862188668</v>
      </c>
      <c r="I30" s="96">
        <v>19.128044127477487</v>
      </c>
      <c r="J30" s="96">
        <v>19.128044127477487</v>
      </c>
      <c r="K30" s="96">
        <v>18.002865061155283</v>
      </c>
      <c r="L30" s="96">
        <v>5.6258953316110265</v>
      </c>
      <c r="M30" s="96">
        <v>5.6258953316110265</v>
      </c>
      <c r="N30" s="96">
        <v>6.7510743979332313</v>
      </c>
      <c r="O30" s="97">
        <v>122.64451822912038</v>
      </c>
    </row>
    <row r="31" spans="1:15" x14ac:dyDescent="0.2">
      <c r="A31" s="220"/>
      <c r="B31" s="94" t="s">
        <v>89</v>
      </c>
      <c r="C31" s="95">
        <v>0</v>
      </c>
      <c r="D31" s="96">
        <v>0</v>
      </c>
      <c r="E31" s="96">
        <v>0</v>
      </c>
      <c r="F31" s="96">
        <v>0</v>
      </c>
      <c r="G31" s="96">
        <v>0</v>
      </c>
      <c r="H31" s="96">
        <v>0</v>
      </c>
      <c r="I31" s="96">
        <v>0</v>
      </c>
      <c r="J31" s="96">
        <v>0</v>
      </c>
      <c r="K31" s="96">
        <v>0</v>
      </c>
      <c r="L31" s="96">
        <v>0</v>
      </c>
      <c r="M31" s="96">
        <v>0</v>
      </c>
      <c r="N31" s="96">
        <v>0</v>
      </c>
      <c r="O31" s="97">
        <v>0</v>
      </c>
    </row>
    <row r="32" spans="1:15" x14ac:dyDescent="0.2">
      <c r="A32" s="220"/>
      <c r="B32" s="94" t="s">
        <v>91</v>
      </c>
      <c r="C32" s="95">
        <v>0</v>
      </c>
      <c r="D32" s="96">
        <v>0</v>
      </c>
      <c r="E32" s="96">
        <v>0</v>
      </c>
      <c r="F32" s="96">
        <v>0</v>
      </c>
      <c r="G32" s="96">
        <v>0</v>
      </c>
      <c r="H32" s="96">
        <v>0</v>
      </c>
      <c r="I32" s="96">
        <v>0</v>
      </c>
      <c r="J32" s="96">
        <v>0</v>
      </c>
      <c r="K32" s="96">
        <v>0</v>
      </c>
      <c r="L32" s="96">
        <v>0</v>
      </c>
      <c r="M32" s="96">
        <v>0</v>
      </c>
      <c r="N32" s="96">
        <v>0</v>
      </c>
      <c r="O32" s="97">
        <v>0</v>
      </c>
    </row>
    <row r="33" spans="1:15" x14ac:dyDescent="0.2">
      <c r="A33" s="84" t="s">
        <v>16</v>
      </c>
      <c r="B33" s="84" t="s">
        <v>72</v>
      </c>
      <c r="C33" s="91">
        <v>4.0128637180825715</v>
      </c>
      <c r="D33" s="92">
        <v>6.6881061968042852</v>
      </c>
      <c r="E33" s="92">
        <v>5.3504849574434283</v>
      </c>
      <c r="F33" s="92">
        <v>5.3504849574434283</v>
      </c>
      <c r="G33" s="92">
        <v>4.0128637180825715</v>
      </c>
      <c r="H33" s="92">
        <v>6.6881061968042852</v>
      </c>
      <c r="I33" s="92">
        <v>6.6881061968042852</v>
      </c>
      <c r="J33" s="92">
        <v>5.3504849574434283</v>
      </c>
      <c r="K33" s="92">
        <v>5.3504849574434283</v>
      </c>
      <c r="L33" s="92">
        <v>5.3504849574434283</v>
      </c>
      <c r="M33" s="92">
        <v>5.3504849574434283</v>
      </c>
      <c r="N33" s="92">
        <v>1.3376212393608571</v>
      </c>
      <c r="O33" s="93">
        <v>61.530577010599423</v>
      </c>
    </row>
    <row r="34" spans="1:15" x14ac:dyDescent="0.2">
      <c r="A34" s="220"/>
      <c r="B34" s="94" t="s">
        <v>25</v>
      </c>
      <c r="C34" s="224">
        <v>0.63732651911595584</v>
      </c>
      <c r="D34" s="225">
        <v>1.0622108651932587</v>
      </c>
      <c r="E34" s="225">
        <v>0.84976869215460749</v>
      </c>
      <c r="F34" s="225">
        <v>0.84976869215460749</v>
      </c>
      <c r="G34" s="225">
        <v>0.63732651911595584</v>
      </c>
      <c r="H34" s="225">
        <v>1.0622108651932587</v>
      </c>
      <c r="I34" s="225">
        <v>1.0622108651932587</v>
      </c>
      <c r="J34" s="225">
        <v>0.84976869215460749</v>
      </c>
      <c r="K34" s="225">
        <v>0.84976869215460749</v>
      </c>
      <c r="L34" s="225">
        <v>0.84976869215460749</v>
      </c>
      <c r="M34" s="225">
        <v>0.84976869215460749</v>
      </c>
      <c r="N34" s="225">
        <v>0.21244217303865187</v>
      </c>
      <c r="O34" s="226">
        <v>9.7723399597779856</v>
      </c>
    </row>
    <row r="35" spans="1:15" x14ac:dyDescent="0.2">
      <c r="A35" s="220"/>
      <c r="B35" s="94" t="s">
        <v>26</v>
      </c>
      <c r="C35" s="224">
        <v>1.9857825002314155E-2</v>
      </c>
      <c r="D35" s="225">
        <v>3.3096375003856926E-2</v>
      </c>
      <c r="E35" s="225">
        <v>2.6477100003085542E-2</v>
      </c>
      <c r="F35" s="225">
        <v>2.6477100003085542E-2</v>
      </c>
      <c r="G35" s="225">
        <v>1.9857825002314155E-2</v>
      </c>
      <c r="H35" s="225">
        <v>3.3096375003856926E-2</v>
      </c>
      <c r="I35" s="225">
        <v>3.3096375003856926E-2</v>
      </c>
      <c r="J35" s="225">
        <v>2.6477100003085542E-2</v>
      </c>
      <c r="K35" s="225">
        <v>2.6477100003085542E-2</v>
      </c>
      <c r="L35" s="225">
        <v>2.6477100003085542E-2</v>
      </c>
      <c r="M35" s="225">
        <v>2.6477100003085542E-2</v>
      </c>
      <c r="N35" s="225">
        <v>6.6192750007713855E-3</v>
      </c>
      <c r="O35" s="226">
        <v>0.3044866500354837</v>
      </c>
    </row>
    <row r="36" spans="1:15" x14ac:dyDescent="0.2">
      <c r="A36" s="220"/>
      <c r="B36" s="94" t="s">
        <v>27</v>
      </c>
      <c r="C36" s="224">
        <v>0.65718434411826998</v>
      </c>
      <c r="D36" s="225">
        <v>1.0953072401971156</v>
      </c>
      <c r="E36" s="225">
        <v>0.87624579215769305</v>
      </c>
      <c r="F36" s="225">
        <v>0.87624579215769305</v>
      </c>
      <c r="G36" s="225">
        <v>0.65718434411826998</v>
      </c>
      <c r="H36" s="225">
        <v>1.0953072401971156</v>
      </c>
      <c r="I36" s="225">
        <v>1.0953072401971156</v>
      </c>
      <c r="J36" s="225">
        <v>0.87624579215769305</v>
      </c>
      <c r="K36" s="225">
        <v>0.87624579215769305</v>
      </c>
      <c r="L36" s="225">
        <v>0.87624579215769305</v>
      </c>
      <c r="M36" s="225">
        <v>0.87624579215769305</v>
      </c>
      <c r="N36" s="225">
        <v>0.21906144803942326</v>
      </c>
      <c r="O36" s="226">
        <v>10.076826609813468</v>
      </c>
    </row>
    <row r="37" spans="1:15" x14ac:dyDescent="0.2">
      <c r="A37" s="220"/>
      <c r="B37" s="94" t="s">
        <v>51</v>
      </c>
      <c r="C37" s="95">
        <v>3.3755371989666156</v>
      </c>
      <c r="D37" s="96">
        <v>5.6258953316110265</v>
      </c>
      <c r="E37" s="96">
        <v>4.5007162652888208</v>
      </c>
      <c r="F37" s="96">
        <v>4.5007162652888208</v>
      </c>
      <c r="G37" s="96">
        <v>3.3755371989666156</v>
      </c>
      <c r="H37" s="96">
        <v>5.6258953316110265</v>
      </c>
      <c r="I37" s="96">
        <v>5.6258953316110265</v>
      </c>
      <c r="J37" s="96">
        <v>4.5007162652888208</v>
      </c>
      <c r="K37" s="96">
        <v>4.5007162652888208</v>
      </c>
      <c r="L37" s="96">
        <v>4.5007162652888208</v>
      </c>
      <c r="M37" s="96">
        <v>4.5007162652888208</v>
      </c>
      <c r="N37" s="96">
        <v>1.1251790663222052</v>
      </c>
      <c r="O37" s="97">
        <v>51.75823705082145</v>
      </c>
    </row>
    <row r="38" spans="1:15" x14ac:dyDescent="0.2">
      <c r="A38" s="220"/>
      <c r="B38" s="94" t="s">
        <v>89</v>
      </c>
      <c r="C38" s="95">
        <v>0</v>
      </c>
      <c r="D38" s="96">
        <v>0</v>
      </c>
      <c r="E38" s="96">
        <v>0</v>
      </c>
      <c r="F38" s="96">
        <v>0</v>
      </c>
      <c r="G38" s="96">
        <v>0</v>
      </c>
      <c r="H38" s="96">
        <v>0</v>
      </c>
      <c r="I38" s="96">
        <v>0</v>
      </c>
      <c r="J38" s="96">
        <v>0</v>
      </c>
      <c r="K38" s="96">
        <v>0</v>
      </c>
      <c r="L38" s="96">
        <v>0</v>
      </c>
      <c r="M38" s="96">
        <v>0</v>
      </c>
      <c r="N38" s="96">
        <v>0</v>
      </c>
      <c r="O38" s="97">
        <v>0</v>
      </c>
    </row>
    <row r="39" spans="1:15" x14ac:dyDescent="0.2">
      <c r="A39" s="220"/>
      <c r="B39" s="94" t="s">
        <v>91</v>
      </c>
      <c r="C39" s="95">
        <v>0</v>
      </c>
      <c r="D39" s="96">
        <v>0</v>
      </c>
      <c r="E39" s="96">
        <v>0</v>
      </c>
      <c r="F39" s="96">
        <v>0</v>
      </c>
      <c r="G39" s="96">
        <v>0</v>
      </c>
      <c r="H39" s="96">
        <v>0</v>
      </c>
      <c r="I39" s="96">
        <v>0</v>
      </c>
      <c r="J39" s="96">
        <v>0</v>
      </c>
      <c r="K39" s="96">
        <v>0</v>
      </c>
      <c r="L39" s="96">
        <v>0</v>
      </c>
      <c r="M39" s="96">
        <v>0</v>
      </c>
      <c r="N39" s="96">
        <v>0</v>
      </c>
      <c r="O39" s="97">
        <v>0</v>
      </c>
    </row>
    <row r="40" spans="1:15" x14ac:dyDescent="0.2">
      <c r="A40" s="84" t="s">
        <v>19</v>
      </c>
      <c r="B40" s="84" t="s">
        <v>72</v>
      </c>
      <c r="C40" s="91">
        <v>49.491985856351711</v>
      </c>
      <c r="D40" s="92">
        <v>44.141500898908284</v>
      </c>
      <c r="E40" s="92">
        <v>62.86819824996028</v>
      </c>
      <c r="F40" s="92">
        <v>52.167228335073425</v>
      </c>
      <c r="G40" s="92">
        <v>61.530577010599423</v>
      </c>
      <c r="H40" s="92">
        <v>68.218683207403714</v>
      </c>
      <c r="I40" s="92">
        <v>61.530577010599423</v>
      </c>
      <c r="J40" s="92">
        <v>66.881061968042857</v>
      </c>
      <c r="K40" s="92">
        <v>60.192955771238566</v>
      </c>
      <c r="L40" s="92">
        <v>61.530577010599423</v>
      </c>
      <c r="M40" s="92">
        <v>64.205819489321144</v>
      </c>
      <c r="N40" s="92">
        <v>56.180092053155995</v>
      </c>
      <c r="O40" s="93">
        <v>708.93925686125431</v>
      </c>
    </row>
    <row r="41" spans="1:15" x14ac:dyDescent="0.2">
      <c r="A41" s="220"/>
      <c r="B41" s="94" t="s">
        <v>25</v>
      </c>
      <c r="C41" s="224">
        <v>7.8603604024301177</v>
      </c>
      <c r="D41" s="225">
        <v>7.0105917102755129</v>
      </c>
      <c r="E41" s="225">
        <v>9.9847821328166333</v>
      </c>
      <c r="F41" s="225">
        <v>8.2852447485074237</v>
      </c>
      <c r="G41" s="225">
        <v>9.7723399597779803</v>
      </c>
      <c r="H41" s="225">
        <v>10.834550824971245</v>
      </c>
      <c r="I41" s="225">
        <v>9.7723399597779803</v>
      </c>
      <c r="J41" s="225">
        <v>10.622108651932599</v>
      </c>
      <c r="K41" s="225">
        <v>9.5598977867393344</v>
      </c>
      <c r="L41" s="225">
        <v>9.7723399597779803</v>
      </c>
      <c r="M41" s="225">
        <v>10.197224305855293</v>
      </c>
      <c r="N41" s="225">
        <v>8.9225712676233755</v>
      </c>
      <c r="O41" s="226">
        <v>112.59435171048545</v>
      </c>
    </row>
    <row r="42" spans="1:15" x14ac:dyDescent="0.2">
      <c r="A42" s="220"/>
      <c r="B42" s="94" t="s">
        <v>26</v>
      </c>
      <c r="C42" s="224">
        <v>0.24491317502854126</v>
      </c>
      <c r="D42" s="225">
        <v>0.2184360750254557</v>
      </c>
      <c r="E42" s="225">
        <v>0.31110592503625512</v>
      </c>
      <c r="F42" s="225">
        <v>0.25815172503008404</v>
      </c>
      <c r="G42" s="225">
        <v>0.30448665003548375</v>
      </c>
      <c r="H42" s="225">
        <v>0.33758302503934068</v>
      </c>
      <c r="I42" s="225">
        <v>0.30448665003548375</v>
      </c>
      <c r="J42" s="225">
        <v>0.33096375003856932</v>
      </c>
      <c r="K42" s="225">
        <v>0.29786737503471233</v>
      </c>
      <c r="L42" s="225">
        <v>0.30448665003548375</v>
      </c>
      <c r="M42" s="225">
        <v>0.31772520003702648</v>
      </c>
      <c r="N42" s="225">
        <v>0.27800955003239819</v>
      </c>
      <c r="O42" s="226">
        <v>3.5082157504088345</v>
      </c>
    </row>
    <row r="43" spans="1:15" x14ac:dyDescent="0.2">
      <c r="A43" s="220"/>
      <c r="B43" s="94" t="s">
        <v>27</v>
      </c>
      <c r="C43" s="224">
        <v>8.1052735774586591</v>
      </c>
      <c r="D43" s="225">
        <v>7.2290277853009686</v>
      </c>
      <c r="E43" s="225">
        <v>10.295888057852888</v>
      </c>
      <c r="F43" s="225">
        <v>8.5433964735375074</v>
      </c>
      <c r="G43" s="225">
        <v>10.076826609813464</v>
      </c>
      <c r="H43" s="225">
        <v>11.172133850010585</v>
      </c>
      <c r="I43" s="225">
        <v>10.076826609813464</v>
      </c>
      <c r="J43" s="225">
        <v>10.953072401971168</v>
      </c>
      <c r="K43" s="225">
        <v>9.8577651617740472</v>
      </c>
      <c r="L43" s="225">
        <v>10.076826609813464</v>
      </c>
      <c r="M43" s="225">
        <v>10.51494950589232</v>
      </c>
      <c r="N43" s="225">
        <v>9.2005808176557728</v>
      </c>
      <c r="O43" s="226">
        <v>116.10256746089431</v>
      </c>
    </row>
    <row r="44" spans="1:15" x14ac:dyDescent="0.2">
      <c r="A44" s="220"/>
      <c r="B44" s="94" t="s">
        <v>51</v>
      </c>
      <c r="C44" s="95">
        <v>41.631625453921593</v>
      </c>
      <c r="D44" s="96">
        <v>37.130909188632771</v>
      </c>
      <c r="E44" s="96">
        <v>52.883416117143646</v>
      </c>
      <c r="F44" s="96">
        <v>43.881983586566001</v>
      </c>
      <c r="G44" s="96">
        <v>51.758237050821442</v>
      </c>
      <c r="H44" s="96">
        <v>57.384132382432469</v>
      </c>
      <c r="I44" s="96">
        <v>51.758237050821442</v>
      </c>
      <c r="J44" s="96">
        <v>56.258953316110258</v>
      </c>
      <c r="K44" s="96">
        <v>50.633057984499231</v>
      </c>
      <c r="L44" s="96">
        <v>51.758237050821442</v>
      </c>
      <c r="M44" s="96">
        <v>54.00859518346585</v>
      </c>
      <c r="N44" s="96">
        <v>47.25752078553262</v>
      </c>
      <c r="O44" s="97">
        <v>596.3449051507688</v>
      </c>
    </row>
    <row r="45" spans="1:15" x14ac:dyDescent="0.2">
      <c r="A45" s="220"/>
      <c r="B45" s="94" t="s">
        <v>89</v>
      </c>
      <c r="C45" s="95">
        <v>0</v>
      </c>
      <c r="D45" s="96">
        <v>0</v>
      </c>
      <c r="E45" s="96">
        <v>0</v>
      </c>
      <c r="F45" s="96">
        <v>0</v>
      </c>
      <c r="G45" s="96">
        <v>0</v>
      </c>
      <c r="H45" s="96">
        <v>0</v>
      </c>
      <c r="I45" s="96">
        <v>0</v>
      </c>
      <c r="J45" s="96">
        <v>0</v>
      </c>
      <c r="K45" s="96">
        <v>0</v>
      </c>
      <c r="L45" s="96">
        <v>0</v>
      </c>
      <c r="M45" s="96">
        <v>0</v>
      </c>
      <c r="N45" s="96">
        <v>0</v>
      </c>
      <c r="O45" s="97">
        <v>0</v>
      </c>
    </row>
    <row r="46" spans="1:15" x14ac:dyDescent="0.2">
      <c r="A46" s="220"/>
      <c r="B46" s="94" t="s">
        <v>91</v>
      </c>
      <c r="C46" s="95">
        <v>0</v>
      </c>
      <c r="D46" s="96">
        <v>0</v>
      </c>
      <c r="E46" s="96">
        <v>0</v>
      </c>
      <c r="F46" s="96">
        <v>0</v>
      </c>
      <c r="G46" s="96">
        <v>0</v>
      </c>
      <c r="H46" s="96">
        <v>0</v>
      </c>
      <c r="I46" s="96">
        <v>0</v>
      </c>
      <c r="J46" s="96">
        <v>0</v>
      </c>
      <c r="K46" s="96">
        <v>0</v>
      </c>
      <c r="L46" s="96">
        <v>0</v>
      </c>
      <c r="M46" s="96">
        <v>0</v>
      </c>
      <c r="N46" s="96">
        <v>0</v>
      </c>
      <c r="O46" s="97">
        <v>0</v>
      </c>
    </row>
    <row r="47" spans="1:15" x14ac:dyDescent="0.2">
      <c r="A47" s="84" t="s">
        <v>8</v>
      </c>
      <c r="B47" s="84" t="s">
        <v>72</v>
      </c>
      <c r="C47" s="91">
        <v>101.65921419142514</v>
      </c>
      <c r="D47" s="92">
        <v>132.42450269672486</v>
      </c>
      <c r="E47" s="92">
        <v>88.283001797816567</v>
      </c>
      <c r="F47" s="92">
        <v>89.620623037177424</v>
      </c>
      <c r="G47" s="92">
        <v>135.09974517544657</v>
      </c>
      <c r="H47" s="92">
        <v>188.60459474988085</v>
      </c>
      <c r="I47" s="92">
        <v>193.95507970732427</v>
      </c>
      <c r="J47" s="92">
        <v>199.3055646647677</v>
      </c>
      <c r="K47" s="92">
        <v>200.64318590412856</v>
      </c>
      <c r="L47" s="92">
        <v>152.48882128713771</v>
      </c>
      <c r="M47" s="92">
        <v>88.283001797816567</v>
      </c>
      <c r="N47" s="92">
        <v>96.308729233981708</v>
      </c>
      <c r="O47" s="93">
        <v>1666.6760642436277</v>
      </c>
    </row>
    <row r="48" spans="1:15" x14ac:dyDescent="0.2">
      <c r="A48" s="220"/>
      <c r="B48" s="94" t="s">
        <v>25</v>
      </c>
      <c r="C48" s="224">
        <v>16.145605150937541</v>
      </c>
      <c r="D48" s="225">
        <v>21.031775130826546</v>
      </c>
      <c r="E48" s="225">
        <v>14.021183420551026</v>
      </c>
      <c r="F48" s="225">
        <v>14.233625593589679</v>
      </c>
      <c r="G48" s="225">
        <v>21.456659476903852</v>
      </c>
      <c r="H48" s="225">
        <v>29.9543463984499</v>
      </c>
      <c r="I48" s="225">
        <v>30.804115090604512</v>
      </c>
      <c r="J48" s="225">
        <v>31.653883782759124</v>
      </c>
      <c r="K48" s="225">
        <v>31.866325955797777</v>
      </c>
      <c r="L48" s="225">
        <v>24.218407726406326</v>
      </c>
      <c r="M48" s="225">
        <v>14.021183420551026</v>
      </c>
      <c r="N48" s="225">
        <v>15.295836458782929</v>
      </c>
      <c r="O48" s="226">
        <v>264.70294760616025</v>
      </c>
    </row>
    <row r="49" spans="1:15" x14ac:dyDescent="0.2">
      <c r="A49" s="220"/>
      <c r="B49" s="94" t="s">
        <v>26</v>
      </c>
      <c r="C49" s="224">
        <v>0.50306490005862525</v>
      </c>
      <c r="D49" s="225">
        <v>0.65530822507636721</v>
      </c>
      <c r="E49" s="225">
        <v>0.4368721500509114</v>
      </c>
      <c r="F49" s="225">
        <v>0.44349142505168282</v>
      </c>
      <c r="G49" s="225">
        <v>0.66854677507790994</v>
      </c>
      <c r="H49" s="225">
        <v>0.93331777510876546</v>
      </c>
      <c r="I49" s="225">
        <v>0.95979487511185091</v>
      </c>
      <c r="J49" s="225">
        <v>0.98627197511493647</v>
      </c>
      <c r="K49" s="225">
        <v>0.99289125011570789</v>
      </c>
      <c r="L49" s="225">
        <v>0.75459735008793793</v>
      </c>
      <c r="M49" s="225">
        <v>0.4368721500509114</v>
      </c>
      <c r="N49" s="225">
        <v>0.4765878000555398</v>
      </c>
      <c r="O49" s="226">
        <v>8.247616650961147</v>
      </c>
    </row>
    <row r="50" spans="1:15" x14ac:dyDescent="0.2">
      <c r="A50" s="220"/>
      <c r="B50" s="94" t="s">
        <v>27</v>
      </c>
      <c r="C50" s="224">
        <v>16.648670050996166</v>
      </c>
      <c r="D50" s="225">
        <v>21.687083355902914</v>
      </c>
      <c r="E50" s="225">
        <v>14.458055570601937</v>
      </c>
      <c r="F50" s="225">
        <v>14.677117018641361</v>
      </c>
      <c r="G50" s="225">
        <v>22.125206251981762</v>
      </c>
      <c r="H50" s="225">
        <v>30.887664173558665</v>
      </c>
      <c r="I50" s="225">
        <v>31.763909965716362</v>
      </c>
      <c r="J50" s="225">
        <v>32.640155757874062</v>
      </c>
      <c r="K50" s="225">
        <v>32.859217205913481</v>
      </c>
      <c r="L50" s="225">
        <v>24.973005076494264</v>
      </c>
      <c r="M50" s="225">
        <v>14.458055570601937</v>
      </c>
      <c r="N50" s="225">
        <v>15.77242425883847</v>
      </c>
      <c r="O50" s="226">
        <v>272.95056425712141</v>
      </c>
    </row>
    <row r="51" spans="1:15" x14ac:dyDescent="0.2">
      <c r="A51" s="220"/>
      <c r="B51" s="94" t="s">
        <v>51</v>
      </c>
      <c r="C51" s="95">
        <v>85.513609040487594</v>
      </c>
      <c r="D51" s="96">
        <v>111.39272756589831</v>
      </c>
      <c r="E51" s="96">
        <v>74.261818377265541</v>
      </c>
      <c r="F51" s="96">
        <v>75.386997443587745</v>
      </c>
      <c r="G51" s="96">
        <v>113.64308569854272</v>
      </c>
      <c r="H51" s="96">
        <v>158.65024835143095</v>
      </c>
      <c r="I51" s="96">
        <v>163.15096461671976</v>
      </c>
      <c r="J51" s="96">
        <v>167.65168088200858</v>
      </c>
      <c r="K51" s="96">
        <v>168.77685994833078</v>
      </c>
      <c r="L51" s="96">
        <v>128.27041356073138</v>
      </c>
      <c r="M51" s="96">
        <v>74.261818377265541</v>
      </c>
      <c r="N51" s="96">
        <v>81.012892775198779</v>
      </c>
      <c r="O51" s="97">
        <v>1401.9731166374677</v>
      </c>
    </row>
    <row r="52" spans="1:15" x14ac:dyDescent="0.2">
      <c r="A52" s="220"/>
      <c r="B52" s="94" t="s">
        <v>89</v>
      </c>
      <c r="C52" s="95">
        <v>0</v>
      </c>
      <c r="D52" s="96">
        <v>0</v>
      </c>
      <c r="E52" s="96">
        <v>0</v>
      </c>
      <c r="F52" s="96">
        <v>0</v>
      </c>
      <c r="G52" s="96">
        <v>0</v>
      </c>
      <c r="H52" s="96">
        <v>0</v>
      </c>
      <c r="I52" s="96">
        <v>0</v>
      </c>
      <c r="J52" s="96">
        <v>0</v>
      </c>
      <c r="K52" s="96">
        <v>0</v>
      </c>
      <c r="L52" s="96">
        <v>0</v>
      </c>
      <c r="M52" s="96">
        <v>0</v>
      </c>
      <c r="N52" s="96">
        <v>0</v>
      </c>
      <c r="O52" s="97">
        <v>0</v>
      </c>
    </row>
    <row r="53" spans="1:15" x14ac:dyDescent="0.2">
      <c r="A53" s="220"/>
      <c r="B53" s="94" t="s">
        <v>91</v>
      </c>
      <c r="C53" s="95">
        <v>0</v>
      </c>
      <c r="D53" s="96">
        <v>0</v>
      </c>
      <c r="E53" s="96">
        <v>0</v>
      </c>
      <c r="F53" s="96">
        <v>0</v>
      </c>
      <c r="G53" s="96">
        <v>0</v>
      </c>
      <c r="H53" s="96">
        <v>0</v>
      </c>
      <c r="I53" s="96">
        <v>0</v>
      </c>
      <c r="J53" s="96">
        <v>0</v>
      </c>
      <c r="K53" s="96">
        <v>0</v>
      </c>
      <c r="L53" s="96">
        <v>0</v>
      </c>
      <c r="M53" s="96">
        <v>0</v>
      </c>
      <c r="N53" s="96">
        <v>0</v>
      </c>
      <c r="O53" s="97">
        <v>0</v>
      </c>
    </row>
    <row r="54" spans="1:15" x14ac:dyDescent="0.2">
      <c r="A54" s="84" t="s">
        <v>21</v>
      </c>
      <c r="B54" s="84" t="s">
        <v>72</v>
      </c>
      <c r="C54" s="91">
        <v>3392.2074630191337</v>
      </c>
      <c r="D54" s="92">
        <v>3980.7608083379105</v>
      </c>
      <c r="E54" s="92">
        <v>2946.7795903119681</v>
      </c>
      <c r="F54" s="92">
        <v>2870.5351796683995</v>
      </c>
      <c r="G54" s="92">
        <v>3960.6964897474977</v>
      </c>
      <c r="H54" s="92">
        <v>5119.0764830340004</v>
      </c>
      <c r="I54" s="92">
        <v>5267.5524406030554</v>
      </c>
      <c r="J54" s="92">
        <v>5353.1601999221502</v>
      </c>
      <c r="K54" s="92">
        <v>5389.2759733848934</v>
      </c>
      <c r="L54" s="92">
        <v>4177.3911305239562</v>
      </c>
      <c r="M54" s="92">
        <v>3027.0368646736197</v>
      </c>
      <c r="N54" s="92">
        <v>3182.200928439479</v>
      </c>
      <c r="O54" s="93">
        <v>48666.673551666063</v>
      </c>
    </row>
    <row r="55" spans="1:15" x14ac:dyDescent="0.2">
      <c r="A55" s="220"/>
      <c r="B55" s="94" t="s">
        <v>25</v>
      </c>
      <c r="C55" s="224">
        <v>538.75335082602123</v>
      </c>
      <c r="D55" s="225">
        <v>632.22790696302764</v>
      </c>
      <c r="E55" s="225">
        <v>468.01010720415024</v>
      </c>
      <c r="F55" s="225">
        <v>455.90090334094702</v>
      </c>
      <c r="G55" s="225">
        <v>629.0412743674483</v>
      </c>
      <c r="H55" s="225">
        <v>813.01619621892132</v>
      </c>
      <c r="I55" s="225">
        <v>836.59727742621089</v>
      </c>
      <c r="J55" s="225">
        <v>850.19357650068469</v>
      </c>
      <c r="K55" s="225">
        <v>855.92951517272832</v>
      </c>
      <c r="L55" s="225">
        <v>663.45690639970917</v>
      </c>
      <c r="M55" s="225">
        <v>480.75663758646942</v>
      </c>
      <c r="N55" s="225">
        <v>505.39992965895271</v>
      </c>
      <c r="O55" s="226">
        <v>7729.2835816652723</v>
      </c>
    </row>
    <row r="56" spans="1:15" x14ac:dyDescent="0.2">
      <c r="A56" s="220"/>
      <c r="B56" s="94" t="s">
        <v>26</v>
      </c>
      <c r="C56" s="224">
        <v>16.786481401956234</v>
      </c>
      <c r="D56" s="225">
        <v>19.698962402295642</v>
      </c>
      <c r="E56" s="225">
        <v>14.582262826699363</v>
      </c>
      <c r="F56" s="225">
        <v>14.204964151655394</v>
      </c>
      <c r="G56" s="225">
        <v>19.599673277284072</v>
      </c>
      <c r="H56" s="225">
        <v>25.331965427952092</v>
      </c>
      <c r="I56" s="225">
        <v>26.066704953037714</v>
      </c>
      <c r="J56" s="225">
        <v>26.490338553087081</v>
      </c>
      <c r="K56" s="225">
        <v>26.669058978107913</v>
      </c>
      <c r="L56" s="225">
        <v>20.671995827409038</v>
      </c>
      <c r="M56" s="225">
        <v>14.979419326745646</v>
      </c>
      <c r="N56" s="225">
        <v>15.747255226835126</v>
      </c>
      <c r="O56" s="226">
        <v>240.8290823530653</v>
      </c>
    </row>
    <row r="57" spans="1:15" x14ac:dyDescent="0.2">
      <c r="A57" s="220"/>
      <c r="B57" s="94" t="s">
        <v>27</v>
      </c>
      <c r="C57" s="224">
        <v>555.53983222797751</v>
      </c>
      <c r="D57" s="225">
        <v>651.92686936532323</v>
      </c>
      <c r="E57" s="225">
        <v>482.59237003084962</v>
      </c>
      <c r="F57" s="225">
        <v>470.10586749260244</v>
      </c>
      <c r="G57" s="225">
        <v>648.64094764473236</v>
      </c>
      <c r="H57" s="225">
        <v>838.34816164687345</v>
      </c>
      <c r="I57" s="225">
        <v>862.66398237924864</v>
      </c>
      <c r="J57" s="225">
        <v>876.68391505377178</v>
      </c>
      <c r="K57" s="225">
        <v>882.59857415083627</v>
      </c>
      <c r="L57" s="225">
        <v>684.12890222711826</v>
      </c>
      <c r="M57" s="225">
        <v>495.73605691321507</v>
      </c>
      <c r="N57" s="225">
        <v>521.14718488578785</v>
      </c>
      <c r="O57" s="226">
        <v>7970.1126640183375</v>
      </c>
    </row>
    <row r="58" spans="1:15" x14ac:dyDescent="0.2">
      <c r="A58" s="220"/>
      <c r="B58" s="94" t="s">
        <v>51</v>
      </c>
      <c r="C58" s="95">
        <v>2853.4541121931125</v>
      </c>
      <c r="D58" s="96">
        <v>3348.5329013748828</v>
      </c>
      <c r="E58" s="96">
        <v>2478.7694831078179</v>
      </c>
      <c r="F58" s="96">
        <v>2414.6342763274524</v>
      </c>
      <c r="G58" s="96">
        <v>3331.6552153800494</v>
      </c>
      <c r="H58" s="96">
        <v>4306.0602868150791</v>
      </c>
      <c r="I58" s="96">
        <v>4430.9551631768445</v>
      </c>
      <c r="J58" s="96">
        <v>4502.9666234214656</v>
      </c>
      <c r="K58" s="96">
        <v>4533.3464582121651</v>
      </c>
      <c r="L58" s="96">
        <v>3513.9342241242471</v>
      </c>
      <c r="M58" s="96">
        <v>2546.2802270871503</v>
      </c>
      <c r="N58" s="96">
        <v>2676.8009987805262</v>
      </c>
      <c r="O58" s="97">
        <v>40937.389970000797</v>
      </c>
    </row>
    <row r="59" spans="1:15" x14ac:dyDescent="0.2">
      <c r="A59" s="220"/>
      <c r="B59" s="94" t="s">
        <v>89</v>
      </c>
      <c r="C59" s="95">
        <v>0</v>
      </c>
      <c r="D59" s="96">
        <v>0</v>
      </c>
      <c r="E59" s="96">
        <v>0</v>
      </c>
      <c r="F59" s="96">
        <v>0</v>
      </c>
      <c r="G59" s="96">
        <v>0</v>
      </c>
      <c r="H59" s="96">
        <v>0</v>
      </c>
      <c r="I59" s="96">
        <v>0</v>
      </c>
      <c r="J59" s="96">
        <v>0</v>
      </c>
      <c r="K59" s="96">
        <v>0</v>
      </c>
      <c r="L59" s="96">
        <v>0</v>
      </c>
      <c r="M59" s="96">
        <v>0</v>
      </c>
      <c r="N59" s="96">
        <v>0</v>
      </c>
      <c r="O59" s="97">
        <v>0</v>
      </c>
    </row>
    <row r="60" spans="1:15" x14ac:dyDescent="0.2">
      <c r="A60" s="220"/>
      <c r="B60" s="94" t="s">
        <v>91</v>
      </c>
      <c r="C60" s="95">
        <v>0</v>
      </c>
      <c r="D60" s="96">
        <v>0</v>
      </c>
      <c r="E60" s="96">
        <v>0</v>
      </c>
      <c r="F60" s="96">
        <v>0</v>
      </c>
      <c r="G60" s="96">
        <v>0</v>
      </c>
      <c r="H60" s="96">
        <v>0</v>
      </c>
      <c r="I60" s="96">
        <v>0</v>
      </c>
      <c r="J60" s="96">
        <v>0</v>
      </c>
      <c r="K60" s="96">
        <v>0</v>
      </c>
      <c r="L60" s="96">
        <v>0</v>
      </c>
      <c r="M60" s="96">
        <v>0</v>
      </c>
      <c r="N60" s="96">
        <v>0</v>
      </c>
      <c r="O60" s="97">
        <v>0</v>
      </c>
    </row>
    <row r="61" spans="1:15" x14ac:dyDescent="0.2">
      <c r="A61" s="84" t="s">
        <v>22</v>
      </c>
      <c r="B61" s="84" t="s">
        <v>72</v>
      </c>
      <c r="C61" s="91">
        <v>3706.5484542689351</v>
      </c>
      <c r="D61" s="92">
        <v>4194.780206635648</v>
      </c>
      <c r="E61" s="92">
        <v>3128.6960788650449</v>
      </c>
      <c r="F61" s="92">
        <v>3202.2652470298917</v>
      </c>
      <c r="G61" s="92">
        <v>3754.7028188859258</v>
      </c>
      <c r="H61" s="92">
        <v>4474.3430456620672</v>
      </c>
      <c r="I61" s="92">
        <v>4715.1148687470213</v>
      </c>
      <c r="J61" s="92">
        <v>4700.4010351140514</v>
      </c>
      <c r="K61" s="92">
        <v>4662.9476404119478</v>
      </c>
      <c r="L61" s="92">
        <v>3714.5741817051003</v>
      </c>
      <c r="M61" s="92">
        <v>3055.1269107001976</v>
      </c>
      <c r="N61" s="92">
        <v>3243.7315054500782</v>
      </c>
      <c r="O61" s="93">
        <v>46553.231993475914</v>
      </c>
    </row>
    <row r="62" spans="1:15" x14ac:dyDescent="0.2">
      <c r="A62" s="220"/>
      <c r="B62" s="94" t="s">
        <v>25</v>
      </c>
      <c r="C62" s="224">
        <v>588.67726149010423</v>
      </c>
      <c r="D62" s="225">
        <v>666.21865464921257</v>
      </c>
      <c r="E62" s="225">
        <v>496.90224273740705</v>
      </c>
      <c r="F62" s="225">
        <v>508.58656225453251</v>
      </c>
      <c r="G62" s="225">
        <v>596.32517971949574</v>
      </c>
      <c r="H62" s="225">
        <v>710.61906881429059</v>
      </c>
      <c r="I62" s="225">
        <v>748.85865996124812</v>
      </c>
      <c r="J62" s="225">
        <v>746.52179605782248</v>
      </c>
      <c r="K62" s="225">
        <v>740.5734152127402</v>
      </c>
      <c r="L62" s="225">
        <v>589.9519145283366</v>
      </c>
      <c r="M62" s="225">
        <v>485.21792322028114</v>
      </c>
      <c r="N62" s="225">
        <v>515.17226961873075</v>
      </c>
      <c r="O62" s="226">
        <v>7393.6249482642024</v>
      </c>
    </row>
    <row r="63" spans="1:15" x14ac:dyDescent="0.2">
      <c r="A63" s="220"/>
      <c r="B63" s="94" t="s">
        <v>26</v>
      </c>
      <c r="C63" s="224">
        <v>18.342011027137509</v>
      </c>
      <c r="D63" s="225">
        <v>20.758046402419065</v>
      </c>
      <c r="E63" s="225">
        <v>15.482484226804271</v>
      </c>
      <c r="F63" s="225">
        <v>15.846544351846697</v>
      </c>
      <c r="G63" s="225">
        <v>18.58030492716528</v>
      </c>
      <c r="H63" s="225">
        <v>22.141474877580286</v>
      </c>
      <c r="I63" s="225">
        <v>23.332944377719134</v>
      </c>
      <c r="J63" s="225">
        <v>23.260132352710645</v>
      </c>
      <c r="K63" s="225">
        <v>23.074792652689052</v>
      </c>
      <c r="L63" s="225">
        <v>18.38172667714214</v>
      </c>
      <c r="M63" s="225">
        <v>15.118424101761844</v>
      </c>
      <c r="N63" s="225">
        <v>16.051741876870611</v>
      </c>
      <c r="O63" s="226">
        <v>230.37062785184656</v>
      </c>
    </row>
    <row r="64" spans="1:15" x14ac:dyDescent="0.2">
      <c r="A64" s="220"/>
      <c r="B64" s="94" t="s">
        <v>27</v>
      </c>
      <c r="C64" s="224">
        <v>607.01927251724169</v>
      </c>
      <c r="D64" s="225">
        <v>686.97670105163161</v>
      </c>
      <c r="E64" s="225">
        <v>512.38472696421127</v>
      </c>
      <c r="F64" s="225">
        <v>524.43310660637917</v>
      </c>
      <c r="G64" s="225">
        <v>614.90548464666097</v>
      </c>
      <c r="H64" s="225">
        <v>732.76054369187091</v>
      </c>
      <c r="I64" s="225">
        <v>772.1916043389673</v>
      </c>
      <c r="J64" s="225">
        <v>769.78192841053317</v>
      </c>
      <c r="K64" s="225">
        <v>763.6482078654293</v>
      </c>
      <c r="L64" s="225">
        <v>608.33364120547878</v>
      </c>
      <c r="M64" s="225">
        <v>500.33634732204297</v>
      </c>
      <c r="N64" s="225">
        <v>531.22401149560142</v>
      </c>
      <c r="O64" s="226">
        <v>7623.9955761160491</v>
      </c>
    </row>
    <row r="65" spans="1:15" x14ac:dyDescent="0.2">
      <c r="A65" s="220"/>
      <c r="B65" s="94" t="s">
        <v>51</v>
      </c>
      <c r="C65" s="95">
        <v>3117.8711927788308</v>
      </c>
      <c r="D65" s="96">
        <v>3528.5615519864355</v>
      </c>
      <c r="E65" s="96">
        <v>2631.7938361276379</v>
      </c>
      <c r="F65" s="96">
        <v>2693.6786847753592</v>
      </c>
      <c r="G65" s="96">
        <v>3158.3776391664301</v>
      </c>
      <c r="H65" s="96">
        <v>3763.7239768477766</v>
      </c>
      <c r="I65" s="96">
        <v>3966.2562087857732</v>
      </c>
      <c r="J65" s="96">
        <v>3953.8792390562289</v>
      </c>
      <c r="K65" s="96">
        <v>3922.3742251992076</v>
      </c>
      <c r="L65" s="96">
        <v>3124.6222671767637</v>
      </c>
      <c r="M65" s="96">
        <v>2569.9089874799165</v>
      </c>
      <c r="N65" s="96">
        <v>2728.5592358313475</v>
      </c>
      <c r="O65" s="97">
        <v>39159.607045211706</v>
      </c>
    </row>
    <row r="66" spans="1:15" x14ac:dyDescent="0.2">
      <c r="A66" s="220"/>
      <c r="B66" s="94" t="s">
        <v>89</v>
      </c>
      <c r="C66" s="95">
        <v>0</v>
      </c>
      <c r="D66" s="96">
        <v>0</v>
      </c>
      <c r="E66" s="96">
        <v>0</v>
      </c>
      <c r="F66" s="96">
        <v>0</v>
      </c>
      <c r="G66" s="96">
        <v>0</v>
      </c>
      <c r="H66" s="96">
        <v>0</v>
      </c>
      <c r="I66" s="96">
        <v>0</v>
      </c>
      <c r="J66" s="96">
        <v>0</v>
      </c>
      <c r="K66" s="96">
        <v>0</v>
      </c>
      <c r="L66" s="96">
        <v>0</v>
      </c>
      <c r="M66" s="96">
        <v>0</v>
      </c>
      <c r="N66" s="96">
        <v>0</v>
      </c>
      <c r="O66" s="97">
        <v>0</v>
      </c>
    </row>
    <row r="67" spans="1:15" x14ac:dyDescent="0.2">
      <c r="A67" s="220"/>
      <c r="B67" s="94" t="s">
        <v>91</v>
      </c>
      <c r="C67" s="95">
        <v>0</v>
      </c>
      <c r="D67" s="96">
        <v>0</v>
      </c>
      <c r="E67" s="96">
        <v>0</v>
      </c>
      <c r="F67" s="96">
        <v>0</v>
      </c>
      <c r="G67" s="96">
        <v>0</v>
      </c>
      <c r="H67" s="96">
        <v>0</v>
      </c>
      <c r="I67" s="96">
        <v>0</v>
      </c>
      <c r="J67" s="96">
        <v>0</v>
      </c>
      <c r="K67" s="96">
        <v>0</v>
      </c>
      <c r="L67" s="96">
        <v>0</v>
      </c>
      <c r="M67" s="96">
        <v>0</v>
      </c>
      <c r="N67" s="96">
        <v>0</v>
      </c>
      <c r="O67" s="97">
        <v>0</v>
      </c>
    </row>
    <row r="68" spans="1:15" x14ac:dyDescent="0.2">
      <c r="A68" s="84" t="s">
        <v>9</v>
      </c>
      <c r="B68" s="84" t="s">
        <v>72</v>
      </c>
      <c r="C68" s="91">
        <v>57.517713292516852</v>
      </c>
      <c r="D68" s="92">
        <v>64.205819489321144</v>
      </c>
      <c r="E68" s="92">
        <v>46.816743377629997</v>
      </c>
      <c r="F68" s="92">
        <v>38.791015941464856</v>
      </c>
      <c r="G68" s="92">
        <v>45.47912213826914</v>
      </c>
      <c r="H68" s="92">
        <v>60.192955771238566</v>
      </c>
      <c r="I68" s="92">
        <v>64.205819489321144</v>
      </c>
      <c r="J68" s="92">
        <v>61.530577010599423</v>
      </c>
      <c r="K68" s="92">
        <v>61.530577010599423</v>
      </c>
      <c r="L68" s="92">
        <v>54.842470813795138</v>
      </c>
      <c r="M68" s="92">
        <v>53.504849574434282</v>
      </c>
      <c r="N68" s="92">
        <v>52.167228335073425</v>
      </c>
      <c r="O68" s="93">
        <v>660.78489224426335</v>
      </c>
    </row>
    <row r="69" spans="1:15" x14ac:dyDescent="0.2">
      <c r="A69" s="220"/>
      <c r="B69" s="94" t="s">
        <v>25</v>
      </c>
      <c r="C69" s="224">
        <v>9.1350134406620285</v>
      </c>
      <c r="D69" s="225">
        <v>10.197224305855293</v>
      </c>
      <c r="E69" s="225">
        <v>7.4354760563528117</v>
      </c>
      <c r="F69" s="225">
        <v>6.160823018120908</v>
      </c>
      <c r="G69" s="225">
        <v>7.2230338833141658</v>
      </c>
      <c r="H69" s="225">
        <v>9.5598977867393344</v>
      </c>
      <c r="I69" s="225">
        <v>10.197224305855293</v>
      </c>
      <c r="J69" s="225">
        <v>9.7723399597779803</v>
      </c>
      <c r="K69" s="225">
        <v>9.7723399597779803</v>
      </c>
      <c r="L69" s="225">
        <v>8.7101290945847225</v>
      </c>
      <c r="M69" s="225">
        <v>8.4976869215460695</v>
      </c>
      <c r="N69" s="225">
        <v>8.2852447485074237</v>
      </c>
      <c r="O69" s="226">
        <v>104.94643348109399</v>
      </c>
    </row>
    <row r="70" spans="1:15" x14ac:dyDescent="0.2">
      <c r="A70" s="220"/>
      <c r="B70" s="94" t="s">
        <v>26</v>
      </c>
      <c r="C70" s="224">
        <v>0.28462882503316955</v>
      </c>
      <c r="D70" s="225">
        <v>0.31772520003702648</v>
      </c>
      <c r="E70" s="225">
        <v>0.23167462502699851</v>
      </c>
      <c r="F70" s="225">
        <v>0.19195897502237019</v>
      </c>
      <c r="G70" s="225">
        <v>0.22505535002622712</v>
      </c>
      <c r="H70" s="225">
        <v>0.29786737503471233</v>
      </c>
      <c r="I70" s="225">
        <v>0.31772520003702648</v>
      </c>
      <c r="J70" s="225">
        <v>0.30448665003548375</v>
      </c>
      <c r="K70" s="225">
        <v>0.30448665003548375</v>
      </c>
      <c r="L70" s="225">
        <v>0.27139027503162677</v>
      </c>
      <c r="M70" s="225">
        <v>0.26477100003085541</v>
      </c>
      <c r="N70" s="225">
        <v>0.25815172503008404</v>
      </c>
      <c r="O70" s="226">
        <v>3.2699218503810648</v>
      </c>
    </row>
    <row r="71" spans="1:15" x14ac:dyDescent="0.2">
      <c r="A71" s="220"/>
      <c r="B71" s="94" t="s">
        <v>27</v>
      </c>
      <c r="C71" s="224">
        <v>9.4196422656951988</v>
      </c>
      <c r="D71" s="225">
        <v>10.51494950589232</v>
      </c>
      <c r="E71" s="225">
        <v>7.6671506813798098</v>
      </c>
      <c r="F71" s="225">
        <v>6.3527819931432781</v>
      </c>
      <c r="G71" s="225">
        <v>7.4480892333403927</v>
      </c>
      <c r="H71" s="225">
        <v>9.8577651617740472</v>
      </c>
      <c r="I71" s="225">
        <v>10.51494950589232</v>
      </c>
      <c r="J71" s="225">
        <v>10.076826609813464</v>
      </c>
      <c r="K71" s="225">
        <v>10.076826609813464</v>
      </c>
      <c r="L71" s="225">
        <v>8.9815193696163487</v>
      </c>
      <c r="M71" s="225">
        <v>8.7624579215769245</v>
      </c>
      <c r="N71" s="225">
        <v>8.5433964735375074</v>
      </c>
      <c r="O71" s="226">
        <v>108.21635533147509</v>
      </c>
    </row>
    <row r="72" spans="1:15" x14ac:dyDescent="0.2">
      <c r="A72" s="220"/>
      <c r="B72" s="94" t="s">
        <v>51</v>
      </c>
      <c r="C72" s="95">
        <v>48.382699851854824</v>
      </c>
      <c r="D72" s="96">
        <v>54.00859518346585</v>
      </c>
      <c r="E72" s="96">
        <v>39.381267321277186</v>
      </c>
      <c r="F72" s="96">
        <v>32.630192923343948</v>
      </c>
      <c r="G72" s="96">
        <v>38.256088254954975</v>
      </c>
      <c r="H72" s="96">
        <v>50.633057984499231</v>
      </c>
      <c r="I72" s="96">
        <v>54.00859518346585</v>
      </c>
      <c r="J72" s="96">
        <v>51.758237050821442</v>
      </c>
      <c r="K72" s="96">
        <v>51.758237050821442</v>
      </c>
      <c r="L72" s="96">
        <v>46.132341719210416</v>
      </c>
      <c r="M72" s="96">
        <v>45.007162652888212</v>
      </c>
      <c r="N72" s="96">
        <v>43.881983586566001</v>
      </c>
      <c r="O72" s="97">
        <v>555.83845876316934</v>
      </c>
    </row>
    <row r="73" spans="1:15" x14ac:dyDescent="0.2">
      <c r="A73" s="220"/>
      <c r="B73" s="94" t="s">
        <v>89</v>
      </c>
      <c r="C73" s="95">
        <v>0</v>
      </c>
      <c r="D73" s="96">
        <v>0</v>
      </c>
      <c r="E73" s="96">
        <v>0</v>
      </c>
      <c r="F73" s="96">
        <v>0</v>
      </c>
      <c r="G73" s="96">
        <v>0</v>
      </c>
      <c r="H73" s="96">
        <v>0</v>
      </c>
      <c r="I73" s="96">
        <v>0</v>
      </c>
      <c r="J73" s="96">
        <v>0</v>
      </c>
      <c r="K73" s="96">
        <v>0</v>
      </c>
      <c r="L73" s="96">
        <v>0</v>
      </c>
      <c r="M73" s="96">
        <v>0</v>
      </c>
      <c r="N73" s="96">
        <v>0</v>
      </c>
      <c r="O73" s="97">
        <v>0</v>
      </c>
    </row>
    <row r="74" spans="1:15" x14ac:dyDescent="0.2">
      <c r="A74" s="220"/>
      <c r="B74" s="94" t="s">
        <v>91</v>
      </c>
      <c r="C74" s="95">
        <v>0</v>
      </c>
      <c r="D74" s="96">
        <v>0</v>
      </c>
      <c r="E74" s="96">
        <v>0</v>
      </c>
      <c r="F74" s="96">
        <v>0</v>
      </c>
      <c r="G74" s="96">
        <v>0</v>
      </c>
      <c r="H74" s="96">
        <v>0</v>
      </c>
      <c r="I74" s="96">
        <v>0</v>
      </c>
      <c r="J74" s="96">
        <v>0</v>
      </c>
      <c r="K74" s="96">
        <v>0</v>
      </c>
      <c r="L74" s="96">
        <v>0</v>
      </c>
      <c r="M74" s="96">
        <v>0</v>
      </c>
      <c r="N74" s="96">
        <v>0</v>
      </c>
      <c r="O74" s="97">
        <v>0</v>
      </c>
    </row>
    <row r="75" spans="1:15" x14ac:dyDescent="0.2">
      <c r="A75" s="84" t="s">
        <v>56</v>
      </c>
      <c r="B75" s="84" t="s">
        <v>72</v>
      </c>
      <c r="C75" s="91">
        <v>139.11260889352914</v>
      </c>
      <c r="D75" s="92">
        <v>177.90362483499399</v>
      </c>
      <c r="E75" s="92">
        <v>116.37304782439456</v>
      </c>
      <c r="F75" s="92">
        <v>102.99683543078599</v>
      </c>
      <c r="G75" s="92">
        <v>139.11260889352914</v>
      </c>
      <c r="H75" s="92">
        <v>192.61745846796342</v>
      </c>
      <c r="I75" s="92">
        <v>215.35701953709798</v>
      </c>
      <c r="J75" s="92">
        <v>218.0322620158197</v>
      </c>
      <c r="K75" s="92">
        <v>204.65604962221113</v>
      </c>
      <c r="L75" s="92">
        <v>156.50168500522028</v>
      </c>
      <c r="M75" s="92">
        <v>121.72353278183799</v>
      </c>
      <c r="N75" s="92">
        <v>125.73639649992056</v>
      </c>
      <c r="O75" s="93">
        <v>1910.1231298073039</v>
      </c>
    </row>
    <row r="76" spans="1:15" x14ac:dyDescent="0.2">
      <c r="A76" s="220"/>
      <c r="B76" s="94" t="s">
        <v>25</v>
      </c>
      <c r="C76" s="95">
        <v>22.093985996019796</v>
      </c>
      <c r="D76" s="96">
        <v>28.254809014140704</v>
      </c>
      <c r="E76" s="96">
        <v>18.48246905436271</v>
      </c>
      <c r="F76" s="96">
        <v>16.358047323976194</v>
      </c>
      <c r="G76" s="96">
        <v>22.093985996019796</v>
      </c>
      <c r="H76" s="96">
        <v>30.591672917565859</v>
      </c>
      <c r="I76" s="96">
        <v>34.203189859222931</v>
      </c>
      <c r="J76" s="96">
        <v>34.628074205300237</v>
      </c>
      <c r="K76" s="96">
        <v>32.503652474913736</v>
      </c>
      <c r="L76" s="96">
        <v>24.855734245522285</v>
      </c>
      <c r="M76" s="96">
        <v>19.332237746517308</v>
      </c>
      <c r="N76" s="96">
        <v>19.969564265633267</v>
      </c>
      <c r="O76" s="97">
        <v>303.36742309919481</v>
      </c>
    </row>
    <row r="77" spans="1:15" x14ac:dyDescent="0.2">
      <c r="A77" s="220"/>
      <c r="B77" s="94" t="s">
        <v>26</v>
      </c>
      <c r="C77" s="95">
        <v>0.68840460008022408</v>
      </c>
      <c r="D77" s="96">
        <v>0.88036357510259422</v>
      </c>
      <c r="E77" s="96">
        <v>0.57587692506711052</v>
      </c>
      <c r="F77" s="96">
        <v>0.50968417505939667</v>
      </c>
      <c r="G77" s="96">
        <v>0.68840460008022408</v>
      </c>
      <c r="H77" s="96">
        <v>0.9531756001110796</v>
      </c>
      <c r="I77" s="96">
        <v>1.0657032751241931</v>
      </c>
      <c r="J77" s="96">
        <v>1.0789418251257359</v>
      </c>
      <c r="K77" s="96">
        <v>1.0127490751180219</v>
      </c>
      <c r="L77" s="96">
        <v>0.77445517509025208</v>
      </c>
      <c r="M77" s="96">
        <v>0.60235402507019609</v>
      </c>
      <c r="N77" s="96">
        <v>0.62221185007251023</v>
      </c>
      <c r="O77" s="97">
        <v>9.4523247011015386</v>
      </c>
    </row>
    <row r="78" spans="1:15" x14ac:dyDescent="0.2">
      <c r="A78" s="220"/>
      <c r="B78" s="94" t="s">
        <v>27</v>
      </c>
      <c r="C78" s="95">
        <v>22.782390596100022</v>
      </c>
      <c r="D78" s="96">
        <v>29.1351725892433</v>
      </c>
      <c r="E78" s="96">
        <v>19.05834597942982</v>
      </c>
      <c r="F78" s="96">
        <v>16.867731499035592</v>
      </c>
      <c r="G78" s="96">
        <v>22.782390596100022</v>
      </c>
      <c r="H78" s="96">
        <v>31.54484851767694</v>
      </c>
      <c r="I78" s="96">
        <v>35.268893134347124</v>
      </c>
      <c r="J78" s="96">
        <v>35.707016030425976</v>
      </c>
      <c r="K78" s="96">
        <v>33.516401550031759</v>
      </c>
      <c r="L78" s="96">
        <v>25.630189420612538</v>
      </c>
      <c r="M78" s="96">
        <v>19.934591771587503</v>
      </c>
      <c r="N78" s="96">
        <v>20.591776115705777</v>
      </c>
      <c r="O78" s="97">
        <v>312.8197478002964</v>
      </c>
    </row>
    <row r="79" spans="1:15" x14ac:dyDescent="0.2">
      <c r="A79" s="220"/>
      <c r="B79" s="94" t="s">
        <v>51</v>
      </c>
      <c r="C79" s="95">
        <v>117.01862289750935</v>
      </c>
      <c r="D79" s="96">
        <v>149.64881582085329</v>
      </c>
      <c r="E79" s="96">
        <v>97.890578770031851</v>
      </c>
      <c r="F79" s="96">
        <v>86.638788106809798</v>
      </c>
      <c r="G79" s="96">
        <v>117.01862289750935</v>
      </c>
      <c r="H79" s="96">
        <v>162.02578555039756</v>
      </c>
      <c r="I79" s="96">
        <v>181.15382967787505</v>
      </c>
      <c r="J79" s="96">
        <v>183.40418781051946</v>
      </c>
      <c r="K79" s="96">
        <v>172.15239714729739</v>
      </c>
      <c r="L79" s="96">
        <v>131.645950759698</v>
      </c>
      <c r="M79" s="96">
        <v>102.39129503532068</v>
      </c>
      <c r="N79" s="96">
        <v>105.76683223428729</v>
      </c>
      <c r="O79" s="97">
        <v>1606.7557067081088</v>
      </c>
    </row>
    <row r="80" spans="1:15" x14ac:dyDescent="0.2">
      <c r="A80" s="220"/>
      <c r="B80" s="94" t="s">
        <v>89</v>
      </c>
      <c r="C80" s="95">
        <v>0</v>
      </c>
      <c r="D80" s="96">
        <v>0</v>
      </c>
      <c r="E80" s="96">
        <v>0</v>
      </c>
      <c r="F80" s="96">
        <v>0</v>
      </c>
      <c r="G80" s="96">
        <v>0</v>
      </c>
      <c r="H80" s="96">
        <v>0</v>
      </c>
      <c r="I80" s="96">
        <v>0</v>
      </c>
      <c r="J80" s="96">
        <v>0</v>
      </c>
      <c r="K80" s="96">
        <v>0</v>
      </c>
      <c r="L80" s="96">
        <v>0</v>
      </c>
      <c r="M80" s="96">
        <v>0</v>
      </c>
      <c r="N80" s="96">
        <v>0</v>
      </c>
      <c r="O80" s="97">
        <v>0</v>
      </c>
    </row>
    <row r="81" spans="1:15" x14ac:dyDescent="0.2">
      <c r="A81" s="220"/>
      <c r="B81" s="94" t="s">
        <v>91</v>
      </c>
      <c r="C81" s="95">
        <v>0</v>
      </c>
      <c r="D81" s="96">
        <v>0</v>
      </c>
      <c r="E81" s="96">
        <v>0</v>
      </c>
      <c r="F81" s="96">
        <v>0</v>
      </c>
      <c r="G81" s="96">
        <v>0</v>
      </c>
      <c r="H81" s="96">
        <v>0</v>
      </c>
      <c r="I81" s="96">
        <v>0</v>
      </c>
      <c r="J81" s="96">
        <v>0</v>
      </c>
      <c r="K81" s="96">
        <v>0</v>
      </c>
      <c r="L81" s="96">
        <v>0</v>
      </c>
      <c r="M81" s="96">
        <v>0</v>
      </c>
      <c r="N81" s="96">
        <v>0</v>
      </c>
      <c r="O81" s="97">
        <v>0</v>
      </c>
    </row>
    <row r="82" spans="1:15" x14ac:dyDescent="0.2">
      <c r="A82" s="84" t="s">
        <v>57</v>
      </c>
      <c r="B82" s="84" t="s">
        <v>72</v>
      </c>
      <c r="C82" s="91">
        <v>14.713833632969427</v>
      </c>
      <c r="D82" s="92">
        <v>10.700969914886857</v>
      </c>
      <c r="E82" s="92">
        <v>9.3633486755259998</v>
      </c>
      <c r="F82" s="92">
        <v>16.051454872330286</v>
      </c>
      <c r="G82" s="92">
        <v>14.713833632969427</v>
      </c>
      <c r="H82" s="92">
        <v>17.389076111691143</v>
      </c>
      <c r="I82" s="92">
        <v>17.389076111691143</v>
      </c>
      <c r="J82" s="92">
        <v>16.051454872330286</v>
      </c>
      <c r="K82" s="92">
        <v>17.389076111691143</v>
      </c>
      <c r="L82" s="92">
        <v>10.700969914886857</v>
      </c>
      <c r="M82" s="92">
        <v>10.700969914886857</v>
      </c>
      <c r="N82" s="92">
        <v>14.713833632969427</v>
      </c>
      <c r="O82" s="93">
        <v>169.87789739882885</v>
      </c>
    </row>
    <row r="83" spans="1:15" x14ac:dyDescent="0.2">
      <c r="A83" s="220"/>
      <c r="B83" s="94" t="s">
        <v>25</v>
      </c>
      <c r="C83" s="95">
        <v>2.3368639034251704</v>
      </c>
      <c r="D83" s="96">
        <v>1.699537384309215</v>
      </c>
      <c r="E83" s="96">
        <v>1.4870952112705638</v>
      </c>
      <c r="F83" s="96">
        <v>2.5493060764638233</v>
      </c>
      <c r="G83" s="96">
        <v>2.3368639034251704</v>
      </c>
      <c r="H83" s="96">
        <v>2.7617482495024746</v>
      </c>
      <c r="I83" s="96">
        <v>2.7617482495024746</v>
      </c>
      <c r="J83" s="96">
        <v>2.5493060764638233</v>
      </c>
      <c r="K83" s="96">
        <v>2.7617482495024746</v>
      </c>
      <c r="L83" s="96">
        <v>1.699537384309215</v>
      </c>
      <c r="M83" s="96">
        <v>1.699537384309215</v>
      </c>
      <c r="N83" s="96">
        <v>2.3368639034251704</v>
      </c>
      <c r="O83" s="97">
        <v>26.980155975908794</v>
      </c>
    </row>
    <row r="84" spans="1:15" x14ac:dyDescent="0.2">
      <c r="A84" s="220"/>
      <c r="B84" s="94" t="s">
        <v>26</v>
      </c>
      <c r="C84" s="95">
        <v>7.2812025008485243E-2</v>
      </c>
      <c r="D84" s="96">
        <v>5.2954200006171084E-2</v>
      </c>
      <c r="E84" s="96">
        <v>4.6334925005399701E-2</v>
      </c>
      <c r="F84" s="96">
        <v>7.943130000925662E-2</v>
      </c>
      <c r="G84" s="96">
        <v>7.2812025008485243E-2</v>
      </c>
      <c r="H84" s="96">
        <v>8.605057501002801E-2</v>
      </c>
      <c r="I84" s="96">
        <v>8.605057501002801E-2</v>
      </c>
      <c r="J84" s="96">
        <v>7.943130000925662E-2</v>
      </c>
      <c r="K84" s="96">
        <v>8.605057501002801E-2</v>
      </c>
      <c r="L84" s="96">
        <v>5.2954200006171084E-2</v>
      </c>
      <c r="M84" s="96">
        <v>5.2954200006171084E-2</v>
      </c>
      <c r="N84" s="96">
        <v>7.2812025008485243E-2</v>
      </c>
      <c r="O84" s="97">
        <v>0.84064792509796604</v>
      </c>
    </row>
    <row r="85" spans="1:15" x14ac:dyDescent="0.2">
      <c r="A85" s="220"/>
      <c r="B85" s="94" t="s">
        <v>27</v>
      </c>
      <c r="C85" s="95">
        <v>2.4096759284336557</v>
      </c>
      <c r="D85" s="96">
        <v>1.7524915843153861</v>
      </c>
      <c r="E85" s="96">
        <v>1.5334301362759635</v>
      </c>
      <c r="F85" s="96">
        <v>2.6287373764730799</v>
      </c>
      <c r="G85" s="96">
        <v>2.4096759284336557</v>
      </c>
      <c r="H85" s="96">
        <v>2.8477988245125028</v>
      </c>
      <c r="I85" s="96">
        <v>2.8477988245125028</v>
      </c>
      <c r="J85" s="96">
        <v>2.6287373764730799</v>
      </c>
      <c r="K85" s="96">
        <v>2.8477988245125028</v>
      </c>
      <c r="L85" s="96">
        <v>1.7524915843153861</v>
      </c>
      <c r="M85" s="96">
        <v>1.7524915843153861</v>
      </c>
      <c r="N85" s="96">
        <v>2.4096759284336557</v>
      </c>
      <c r="O85" s="97">
        <v>27.820803901006755</v>
      </c>
    </row>
    <row r="86" spans="1:15" x14ac:dyDescent="0.2">
      <c r="A86" s="220"/>
      <c r="B86" s="94" t="s">
        <v>51</v>
      </c>
      <c r="C86" s="95">
        <v>12.376969729544257</v>
      </c>
      <c r="D86" s="96">
        <v>9.0014325305776417</v>
      </c>
      <c r="E86" s="96">
        <v>7.876253464255436</v>
      </c>
      <c r="F86" s="96">
        <v>13.502148795866463</v>
      </c>
      <c r="G86" s="96">
        <v>12.376969729544257</v>
      </c>
      <c r="H86" s="96">
        <v>14.627327862188668</v>
      </c>
      <c r="I86" s="96">
        <v>14.627327862188668</v>
      </c>
      <c r="J86" s="96">
        <v>13.502148795866463</v>
      </c>
      <c r="K86" s="96">
        <v>14.627327862188668</v>
      </c>
      <c r="L86" s="96">
        <v>9.0014325305776417</v>
      </c>
      <c r="M86" s="96">
        <v>9.0014325305776417</v>
      </c>
      <c r="N86" s="96">
        <v>12.376969729544257</v>
      </c>
      <c r="O86" s="97">
        <v>142.89774142292003</v>
      </c>
    </row>
    <row r="87" spans="1:15" x14ac:dyDescent="0.2">
      <c r="A87" s="220"/>
      <c r="B87" s="94" t="s">
        <v>89</v>
      </c>
      <c r="C87" s="95">
        <v>0</v>
      </c>
      <c r="D87" s="96">
        <v>0</v>
      </c>
      <c r="E87" s="96">
        <v>0</v>
      </c>
      <c r="F87" s="96">
        <v>0</v>
      </c>
      <c r="G87" s="96">
        <v>0</v>
      </c>
      <c r="H87" s="96">
        <v>0</v>
      </c>
      <c r="I87" s="96">
        <v>0</v>
      </c>
      <c r="J87" s="96">
        <v>0</v>
      </c>
      <c r="K87" s="96">
        <v>0</v>
      </c>
      <c r="L87" s="96">
        <v>0</v>
      </c>
      <c r="M87" s="96">
        <v>0</v>
      </c>
      <c r="N87" s="96">
        <v>0</v>
      </c>
      <c r="O87" s="97">
        <v>0</v>
      </c>
    </row>
    <row r="88" spans="1:15" x14ac:dyDescent="0.2">
      <c r="A88" s="220"/>
      <c r="B88" s="94" t="s">
        <v>91</v>
      </c>
      <c r="C88" s="95">
        <v>0</v>
      </c>
      <c r="D88" s="96">
        <v>0</v>
      </c>
      <c r="E88" s="96">
        <v>0</v>
      </c>
      <c r="F88" s="96">
        <v>0</v>
      </c>
      <c r="G88" s="96">
        <v>0</v>
      </c>
      <c r="H88" s="96">
        <v>0</v>
      </c>
      <c r="I88" s="96">
        <v>0</v>
      </c>
      <c r="J88" s="96">
        <v>0</v>
      </c>
      <c r="K88" s="96">
        <v>0</v>
      </c>
      <c r="L88" s="96">
        <v>0</v>
      </c>
      <c r="M88" s="96">
        <v>0</v>
      </c>
      <c r="N88" s="96">
        <v>0</v>
      </c>
      <c r="O88" s="97">
        <v>0</v>
      </c>
    </row>
    <row r="89" spans="1:15" x14ac:dyDescent="0.2">
      <c r="A89" s="84" t="s">
        <v>58</v>
      </c>
      <c r="B89" s="84" t="s">
        <v>72</v>
      </c>
      <c r="C89" s="91">
        <v>26.752424787217141</v>
      </c>
      <c r="D89" s="92">
        <v>30.765288505299711</v>
      </c>
      <c r="E89" s="92">
        <v>21.401939829773713</v>
      </c>
      <c r="F89" s="92">
        <v>26.752424787217141</v>
      </c>
      <c r="G89" s="92">
        <v>36.115773462743142</v>
      </c>
      <c r="H89" s="92">
        <v>42.803879659547427</v>
      </c>
      <c r="I89" s="92">
        <v>49.491985856351711</v>
      </c>
      <c r="J89" s="92">
        <v>44.141500898908284</v>
      </c>
      <c r="K89" s="92">
        <v>49.491985856351711</v>
      </c>
      <c r="L89" s="92">
        <v>36.115773462743142</v>
      </c>
      <c r="M89" s="92">
        <v>21.401939829773713</v>
      </c>
      <c r="N89" s="92">
        <v>25.414803547856284</v>
      </c>
      <c r="O89" s="93">
        <v>410.6497204837832</v>
      </c>
    </row>
    <row r="90" spans="1:15" x14ac:dyDescent="0.2">
      <c r="A90" s="220"/>
      <c r="B90" s="94" t="s">
        <v>25</v>
      </c>
      <c r="C90" s="95">
        <v>4.2488434607730348</v>
      </c>
      <c r="D90" s="96">
        <v>4.8861699798889902</v>
      </c>
      <c r="E90" s="96">
        <v>3.3990747686184299</v>
      </c>
      <c r="F90" s="96">
        <v>4.2488434607730348</v>
      </c>
      <c r="G90" s="96">
        <v>5.7359386720436021</v>
      </c>
      <c r="H90" s="96">
        <v>6.7981495372368599</v>
      </c>
      <c r="I90" s="96">
        <v>7.8603604024301177</v>
      </c>
      <c r="J90" s="96">
        <v>7.0105917102755129</v>
      </c>
      <c r="K90" s="96">
        <v>7.8603604024301177</v>
      </c>
      <c r="L90" s="96">
        <v>5.7359386720436021</v>
      </c>
      <c r="M90" s="96">
        <v>3.3990747686184299</v>
      </c>
      <c r="N90" s="96">
        <v>4.0364012877343853</v>
      </c>
      <c r="O90" s="97">
        <v>65.219747122866124</v>
      </c>
    </row>
    <row r="91" spans="1:15" x14ac:dyDescent="0.2">
      <c r="A91" s="220"/>
      <c r="B91" s="94" t="s">
        <v>26</v>
      </c>
      <c r="C91" s="95">
        <v>0.1323855000154277</v>
      </c>
      <c r="D91" s="96">
        <v>0.15224332501774188</v>
      </c>
      <c r="E91" s="96">
        <v>0.10590840001234217</v>
      </c>
      <c r="F91" s="96">
        <v>0.1323855000154277</v>
      </c>
      <c r="G91" s="96">
        <v>0.17872042502082741</v>
      </c>
      <c r="H91" s="96">
        <v>0.21181680002468434</v>
      </c>
      <c r="I91" s="96">
        <v>0.24491317502854126</v>
      </c>
      <c r="J91" s="96">
        <v>0.2184360750254557</v>
      </c>
      <c r="K91" s="96">
        <v>0.24491317502854126</v>
      </c>
      <c r="L91" s="96">
        <v>0.17872042502082741</v>
      </c>
      <c r="M91" s="96">
        <v>0.10590840001234217</v>
      </c>
      <c r="N91" s="96">
        <v>0.12576622501465631</v>
      </c>
      <c r="O91" s="97">
        <v>2.0321174252368155</v>
      </c>
    </row>
    <row r="92" spans="1:15" x14ac:dyDescent="0.2">
      <c r="A92" s="220"/>
      <c r="B92" s="94" t="s">
        <v>27</v>
      </c>
      <c r="C92" s="95">
        <v>4.3812289607884622</v>
      </c>
      <c r="D92" s="96">
        <v>5.0384133049067321</v>
      </c>
      <c r="E92" s="96">
        <v>3.5049831686307722</v>
      </c>
      <c r="F92" s="96">
        <v>4.3812289607884622</v>
      </c>
      <c r="G92" s="96">
        <v>5.9146590970644297</v>
      </c>
      <c r="H92" s="96">
        <v>7.0099663372615444</v>
      </c>
      <c r="I92" s="96">
        <v>8.1052735774586591</v>
      </c>
      <c r="J92" s="96">
        <v>7.2290277853009686</v>
      </c>
      <c r="K92" s="96">
        <v>8.1052735774586591</v>
      </c>
      <c r="L92" s="96">
        <v>5.9146590970644297</v>
      </c>
      <c r="M92" s="96">
        <v>3.5049831686307722</v>
      </c>
      <c r="N92" s="96">
        <v>4.1621675127490416</v>
      </c>
      <c r="O92" s="97">
        <v>67.251864548102944</v>
      </c>
    </row>
    <row r="93" spans="1:15" x14ac:dyDescent="0.2">
      <c r="A93" s="220"/>
      <c r="B93" s="94" t="s">
        <v>51</v>
      </c>
      <c r="C93" s="95">
        <v>22.503581326444106</v>
      </c>
      <c r="D93" s="96">
        <v>25.879118525410721</v>
      </c>
      <c r="E93" s="96">
        <v>18.002865061155283</v>
      </c>
      <c r="F93" s="96">
        <v>22.503581326444106</v>
      </c>
      <c r="G93" s="96">
        <v>30.37983479069954</v>
      </c>
      <c r="H93" s="96">
        <v>36.005730122310567</v>
      </c>
      <c r="I93" s="96">
        <v>41.631625453921593</v>
      </c>
      <c r="J93" s="96">
        <v>37.130909188632771</v>
      </c>
      <c r="K93" s="96">
        <v>41.631625453921593</v>
      </c>
      <c r="L93" s="96">
        <v>30.37983479069954</v>
      </c>
      <c r="M93" s="96">
        <v>18.002865061155283</v>
      </c>
      <c r="N93" s="96">
        <v>21.378402260121899</v>
      </c>
      <c r="O93" s="97">
        <v>345.42997336091696</v>
      </c>
    </row>
    <row r="94" spans="1:15" x14ac:dyDescent="0.2">
      <c r="A94" s="220"/>
      <c r="B94" s="94" t="s">
        <v>89</v>
      </c>
      <c r="C94" s="95">
        <v>0</v>
      </c>
      <c r="D94" s="96">
        <v>0</v>
      </c>
      <c r="E94" s="96">
        <v>0</v>
      </c>
      <c r="F94" s="96">
        <v>0</v>
      </c>
      <c r="G94" s="96">
        <v>0</v>
      </c>
      <c r="H94" s="96">
        <v>0</v>
      </c>
      <c r="I94" s="96">
        <v>0</v>
      </c>
      <c r="J94" s="96">
        <v>0</v>
      </c>
      <c r="K94" s="96">
        <v>0</v>
      </c>
      <c r="L94" s="96">
        <v>0</v>
      </c>
      <c r="M94" s="96">
        <v>0</v>
      </c>
      <c r="N94" s="96">
        <v>0</v>
      </c>
      <c r="O94" s="97">
        <v>0</v>
      </c>
    </row>
    <row r="95" spans="1:15" x14ac:dyDescent="0.2">
      <c r="A95" s="220"/>
      <c r="B95" s="94" t="s">
        <v>91</v>
      </c>
      <c r="C95" s="95">
        <v>0</v>
      </c>
      <c r="D95" s="96">
        <v>0</v>
      </c>
      <c r="E95" s="96">
        <v>0</v>
      </c>
      <c r="F95" s="96">
        <v>0</v>
      </c>
      <c r="G95" s="96">
        <v>0</v>
      </c>
      <c r="H95" s="96">
        <v>0</v>
      </c>
      <c r="I95" s="96">
        <v>0</v>
      </c>
      <c r="J95" s="96">
        <v>0</v>
      </c>
      <c r="K95" s="96">
        <v>0</v>
      </c>
      <c r="L95" s="96">
        <v>0</v>
      </c>
      <c r="M95" s="96">
        <v>0</v>
      </c>
      <c r="N95" s="96">
        <v>0</v>
      </c>
      <c r="O95" s="97">
        <v>0</v>
      </c>
    </row>
    <row r="96" spans="1:15" x14ac:dyDescent="0.2">
      <c r="A96" s="84" t="s">
        <v>59</v>
      </c>
      <c r="B96" s="84" t="s">
        <v>72</v>
      </c>
      <c r="C96" s="91">
        <v>46.816743377629997</v>
      </c>
      <c r="D96" s="92">
        <v>44.141500898908284</v>
      </c>
      <c r="E96" s="92">
        <v>40.128637180825713</v>
      </c>
      <c r="F96" s="92">
        <v>42.803879659547427</v>
      </c>
      <c r="G96" s="92">
        <v>53.504849574434282</v>
      </c>
      <c r="H96" s="92">
        <v>61.530577010599423</v>
      </c>
      <c r="I96" s="92">
        <v>64.205819489321144</v>
      </c>
      <c r="J96" s="92">
        <v>66.881061968042857</v>
      </c>
      <c r="K96" s="92">
        <v>69.556304446764571</v>
      </c>
      <c r="L96" s="92">
        <v>53.504849574434282</v>
      </c>
      <c r="M96" s="92">
        <v>42.803879659547427</v>
      </c>
      <c r="N96" s="92">
        <v>46.816743377629997</v>
      </c>
      <c r="O96" s="93">
        <v>632.69484621768538</v>
      </c>
    </row>
    <row r="97" spans="1:15" x14ac:dyDescent="0.2">
      <c r="A97" s="220"/>
      <c r="B97" s="94" t="s">
        <v>25</v>
      </c>
      <c r="C97" s="95">
        <v>7.4354760563528117</v>
      </c>
      <c r="D97" s="96">
        <v>7.0105917102755129</v>
      </c>
      <c r="E97" s="96">
        <v>6.3732651911595539</v>
      </c>
      <c r="F97" s="96">
        <v>6.7981495372368599</v>
      </c>
      <c r="G97" s="96">
        <v>8.4976869215460695</v>
      </c>
      <c r="H97" s="96">
        <v>9.7723399597779803</v>
      </c>
      <c r="I97" s="96">
        <v>10.197224305855293</v>
      </c>
      <c r="J97" s="96">
        <v>10.622108651932599</v>
      </c>
      <c r="K97" s="96">
        <v>11.046992998009898</v>
      </c>
      <c r="L97" s="96">
        <v>8.4976869215460695</v>
      </c>
      <c r="M97" s="96">
        <v>6.7981495372368599</v>
      </c>
      <c r="N97" s="96">
        <v>7.4354760563528117</v>
      </c>
      <c r="O97" s="97">
        <v>100.48514784728233</v>
      </c>
    </row>
    <row r="98" spans="1:15" x14ac:dyDescent="0.2">
      <c r="A98" s="220"/>
      <c r="B98" s="94" t="s">
        <v>26</v>
      </c>
      <c r="C98" s="95">
        <v>0.23167462502699851</v>
      </c>
      <c r="D98" s="96">
        <v>0.2184360750254557</v>
      </c>
      <c r="E98" s="96">
        <v>0.19857825002314156</v>
      </c>
      <c r="F98" s="96">
        <v>0.21181680002468434</v>
      </c>
      <c r="G98" s="96">
        <v>0.26477100003085541</v>
      </c>
      <c r="H98" s="96">
        <v>0.30448665003548375</v>
      </c>
      <c r="I98" s="96">
        <v>0.31772520003702648</v>
      </c>
      <c r="J98" s="96">
        <v>0.33096375003856932</v>
      </c>
      <c r="K98" s="96">
        <v>0.34420230004011204</v>
      </c>
      <c r="L98" s="96">
        <v>0.26477100003085541</v>
      </c>
      <c r="M98" s="96">
        <v>0.21181680002468434</v>
      </c>
      <c r="N98" s="96">
        <v>0.23167462502699851</v>
      </c>
      <c r="O98" s="97">
        <v>3.1309170753648656</v>
      </c>
    </row>
    <row r="99" spans="1:15" x14ac:dyDescent="0.2">
      <c r="A99" s="220"/>
      <c r="B99" s="94" t="s">
        <v>27</v>
      </c>
      <c r="C99" s="95">
        <v>7.6671506813798098</v>
      </c>
      <c r="D99" s="96">
        <v>7.2290277853009686</v>
      </c>
      <c r="E99" s="96">
        <v>6.5718434411826951</v>
      </c>
      <c r="F99" s="96">
        <v>7.0099663372615444</v>
      </c>
      <c r="G99" s="96">
        <v>8.7624579215769245</v>
      </c>
      <c r="H99" s="96">
        <v>10.076826609813464</v>
      </c>
      <c r="I99" s="96">
        <v>10.51494950589232</v>
      </c>
      <c r="J99" s="96">
        <v>10.953072401971168</v>
      </c>
      <c r="K99" s="96">
        <v>11.391195298050011</v>
      </c>
      <c r="L99" s="96">
        <v>8.7624579215769245</v>
      </c>
      <c r="M99" s="96">
        <v>7.0099663372615444</v>
      </c>
      <c r="N99" s="96">
        <v>7.6671506813798098</v>
      </c>
      <c r="O99" s="97">
        <v>103.61606492264718</v>
      </c>
    </row>
    <row r="100" spans="1:15" x14ac:dyDescent="0.2">
      <c r="A100" s="220"/>
      <c r="B100" s="94" t="s">
        <v>51</v>
      </c>
      <c r="C100" s="95">
        <v>39.381267321277186</v>
      </c>
      <c r="D100" s="96">
        <v>37.130909188632771</v>
      </c>
      <c r="E100" s="96">
        <v>33.755371989666159</v>
      </c>
      <c r="F100" s="96">
        <v>36.005730122310567</v>
      </c>
      <c r="G100" s="96">
        <v>45.007162652888212</v>
      </c>
      <c r="H100" s="96">
        <v>51.758237050821442</v>
      </c>
      <c r="I100" s="96">
        <v>54.00859518346585</v>
      </c>
      <c r="J100" s="96">
        <v>56.258953316110258</v>
      </c>
      <c r="K100" s="96">
        <v>58.509311448754673</v>
      </c>
      <c r="L100" s="96">
        <v>45.007162652888212</v>
      </c>
      <c r="M100" s="96">
        <v>36.005730122310567</v>
      </c>
      <c r="N100" s="96">
        <v>39.381267321277186</v>
      </c>
      <c r="O100" s="97">
        <v>532.20969837040309</v>
      </c>
    </row>
    <row r="101" spans="1:15" x14ac:dyDescent="0.2">
      <c r="A101" s="220"/>
      <c r="B101" s="94" t="s">
        <v>89</v>
      </c>
      <c r="C101" s="95">
        <v>0</v>
      </c>
      <c r="D101" s="96">
        <v>0</v>
      </c>
      <c r="E101" s="96">
        <v>0</v>
      </c>
      <c r="F101" s="96">
        <v>0</v>
      </c>
      <c r="G101" s="96">
        <v>0</v>
      </c>
      <c r="H101" s="96">
        <v>0</v>
      </c>
      <c r="I101" s="96">
        <v>0</v>
      </c>
      <c r="J101" s="96">
        <v>0</v>
      </c>
      <c r="K101" s="96">
        <v>0</v>
      </c>
      <c r="L101" s="96">
        <v>0</v>
      </c>
      <c r="M101" s="96">
        <v>0</v>
      </c>
      <c r="N101" s="96">
        <v>0</v>
      </c>
      <c r="O101" s="97">
        <v>0</v>
      </c>
    </row>
    <row r="102" spans="1:15" x14ac:dyDescent="0.2">
      <c r="A102" s="220"/>
      <c r="B102" s="94" t="s">
        <v>91</v>
      </c>
      <c r="C102" s="95">
        <v>0</v>
      </c>
      <c r="D102" s="96">
        <v>0</v>
      </c>
      <c r="E102" s="96">
        <v>0</v>
      </c>
      <c r="F102" s="96">
        <v>0</v>
      </c>
      <c r="G102" s="96">
        <v>0</v>
      </c>
      <c r="H102" s="96">
        <v>0</v>
      </c>
      <c r="I102" s="96">
        <v>0</v>
      </c>
      <c r="J102" s="96">
        <v>0</v>
      </c>
      <c r="K102" s="96">
        <v>0</v>
      </c>
      <c r="L102" s="96">
        <v>0</v>
      </c>
      <c r="M102" s="96">
        <v>0</v>
      </c>
      <c r="N102" s="96">
        <v>0</v>
      </c>
      <c r="O102" s="97">
        <v>0</v>
      </c>
    </row>
    <row r="103" spans="1:15" x14ac:dyDescent="0.2">
      <c r="A103" s="84" t="s">
        <v>83</v>
      </c>
      <c r="B103" s="84" t="s">
        <v>72</v>
      </c>
      <c r="C103" s="91">
        <v>195.29270094668513</v>
      </c>
      <c r="D103" s="92">
        <v>283.57570274450171</v>
      </c>
      <c r="E103" s="92">
        <v>167.20265492010714</v>
      </c>
      <c r="F103" s="92">
        <v>123.06115402119885</v>
      </c>
      <c r="G103" s="92">
        <v>136.43736641480743</v>
      </c>
      <c r="H103" s="92">
        <v>165.86503368074628</v>
      </c>
      <c r="I103" s="92">
        <v>184.59173103179828</v>
      </c>
      <c r="J103" s="92">
        <v>187.26697351051999</v>
      </c>
      <c r="K103" s="92">
        <v>187.26697351051999</v>
      </c>
      <c r="L103" s="92">
        <v>141.78785137225086</v>
      </c>
      <c r="M103" s="92">
        <v>143.12547261161171</v>
      </c>
      <c r="N103" s="92">
        <v>147.13833632969428</v>
      </c>
      <c r="O103" s="93">
        <v>2062.6119510944413</v>
      </c>
    </row>
    <row r="104" spans="1:15" x14ac:dyDescent="0.2">
      <c r="A104" s="220"/>
      <c r="B104" s="94" t="s">
        <v>25</v>
      </c>
      <c r="C104" s="95">
        <v>31.016557263643165</v>
      </c>
      <c r="D104" s="96">
        <v>45.037740684194205</v>
      </c>
      <c r="E104" s="96">
        <v>26.555271629831481</v>
      </c>
      <c r="F104" s="96">
        <v>19.544679919555961</v>
      </c>
      <c r="G104" s="96">
        <v>21.66910164994249</v>
      </c>
      <c r="H104" s="96">
        <v>26.342829456792828</v>
      </c>
      <c r="I104" s="96">
        <v>29.317019879333969</v>
      </c>
      <c r="J104" s="96">
        <v>29.741904225411247</v>
      </c>
      <c r="K104" s="96">
        <v>29.741904225411247</v>
      </c>
      <c r="L104" s="96">
        <v>22.518870342097102</v>
      </c>
      <c r="M104" s="96">
        <v>22.731312515135755</v>
      </c>
      <c r="N104" s="96">
        <v>23.368639034251714</v>
      </c>
      <c r="O104" s="97">
        <v>327.58583082560119</v>
      </c>
    </row>
    <row r="105" spans="1:15" x14ac:dyDescent="0.2">
      <c r="A105" s="220"/>
      <c r="B105" s="94" t="s">
        <v>26</v>
      </c>
      <c r="C105" s="95">
        <v>0.96641415011262233</v>
      </c>
      <c r="D105" s="96">
        <v>1.4032863001635338</v>
      </c>
      <c r="E105" s="96">
        <v>0.82740937509642321</v>
      </c>
      <c r="F105" s="96">
        <v>0.6089733000709675</v>
      </c>
      <c r="G105" s="96">
        <v>0.67516605007868136</v>
      </c>
      <c r="H105" s="96">
        <v>0.82079010009565179</v>
      </c>
      <c r="I105" s="96">
        <v>0.91345995010645131</v>
      </c>
      <c r="J105" s="96">
        <v>0.92669850010799404</v>
      </c>
      <c r="K105" s="96">
        <v>0.92669850010799404</v>
      </c>
      <c r="L105" s="96">
        <v>0.70164315008176692</v>
      </c>
      <c r="M105" s="96">
        <v>0.70826242508253823</v>
      </c>
      <c r="N105" s="96">
        <v>0.72812025008485248</v>
      </c>
      <c r="O105" s="97">
        <v>10.206922051189476</v>
      </c>
    </row>
    <row r="106" spans="1:15" x14ac:dyDescent="0.2">
      <c r="A106" s="220"/>
      <c r="B106" s="94" t="s">
        <v>27</v>
      </c>
      <c r="C106" s="95">
        <v>31.982971413755788</v>
      </c>
      <c r="D106" s="96">
        <v>46.441026984357741</v>
      </c>
      <c r="E106" s="96">
        <v>27.382681004927903</v>
      </c>
      <c r="F106" s="96">
        <v>20.153653219626928</v>
      </c>
      <c r="G106" s="96">
        <v>22.34426770002117</v>
      </c>
      <c r="H106" s="96">
        <v>27.163619556888481</v>
      </c>
      <c r="I106" s="96">
        <v>30.230479829440419</v>
      </c>
      <c r="J106" s="96">
        <v>30.668602725519239</v>
      </c>
      <c r="K106" s="96">
        <v>30.668602725519239</v>
      </c>
      <c r="L106" s="96">
        <v>23.220513492178871</v>
      </c>
      <c r="M106" s="96">
        <v>23.439574940218293</v>
      </c>
      <c r="N106" s="96">
        <v>24.096759284336567</v>
      </c>
      <c r="O106" s="97">
        <v>337.79275287679064</v>
      </c>
    </row>
    <row r="107" spans="1:15" x14ac:dyDescent="0.2">
      <c r="A107" s="220"/>
      <c r="B107" s="94" t="s">
        <v>51</v>
      </c>
      <c r="C107" s="95">
        <v>164.27614368304197</v>
      </c>
      <c r="D107" s="96">
        <v>238.53796206030751</v>
      </c>
      <c r="E107" s="96">
        <v>140.64738329027566</v>
      </c>
      <c r="F107" s="96">
        <v>103.51647410164288</v>
      </c>
      <c r="G107" s="96">
        <v>114.76826476486494</v>
      </c>
      <c r="H107" s="96">
        <v>139.52220422395345</v>
      </c>
      <c r="I107" s="96">
        <v>155.27471115246431</v>
      </c>
      <c r="J107" s="96">
        <v>157.52506928510874</v>
      </c>
      <c r="K107" s="96">
        <v>157.52506928510874</v>
      </c>
      <c r="L107" s="96">
        <v>119.26898103015375</v>
      </c>
      <c r="M107" s="96">
        <v>120.39416009647596</v>
      </c>
      <c r="N107" s="96">
        <v>123.76969729544257</v>
      </c>
      <c r="O107" s="97">
        <v>1735.0261202688405</v>
      </c>
    </row>
    <row r="108" spans="1:15" x14ac:dyDescent="0.2">
      <c r="A108" s="220"/>
      <c r="B108" s="94" t="s">
        <v>89</v>
      </c>
      <c r="C108" s="95">
        <v>0</v>
      </c>
      <c r="D108" s="96">
        <v>0</v>
      </c>
      <c r="E108" s="96">
        <v>0</v>
      </c>
      <c r="F108" s="96">
        <v>0</v>
      </c>
      <c r="G108" s="96">
        <v>0</v>
      </c>
      <c r="H108" s="96">
        <v>0</v>
      </c>
      <c r="I108" s="96">
        <v>0</v>
      </c>
      <c r="J108" s="96">
        <v>0</v>
      </c>
      <c r="K108" s="96">
        <v>0</v>
      </c>
      <c r="L108" s="96">
        <v>0</v>
      </c>
      <c r="M108" s="96">
        <v>0</v>
      </c>
      <c r="N108" s="96">
        <v>0</v>
      </c>
      <c r="O108" s="97">
        <v>0</v>
      </c>
    </row>
    <row r="109" spans="1:15" x14ac:dyDescent="0.2">
      <c r="A109" s="220"/>
      <c r="B109" s="94" t="s">
        <v>91</v>
      </c>
      <c r="C109" s="95">
        <v>0</v>
      </c>
      <c r="D109" s="96">
        <v>0</v>
      </c>
      <c r="E109" s="96">
        <v>0</v>
      </c>
      <c r="F109" s="96">
        <v>0</v>
      </c>
      <c r="G109" s="96">
        <v>0</v>
      </c>
      <c r="H109" s="96">
        <v>0</v>
      </c>
      <c r="I109" s="96">
        <v>0</v>
      </c>
      <c r="J109" s="96">
        <v>0</v>
      </c>
      <c r="K109" s="96">
        <v>0</v>
      </c>
      <c r="L109" s="96">
        <v>0</v>
      </c>
      <c r="M109" s="96">
        <v>0</v>
      </c>
      <c r="N109" s="96">
        <v>0</v>
      </c>
      <c r="O109" s="97">
        <v>0</v>
      </c>
    </row>
    <row r="110" spans="1:15" x14ac:dyDescent="0.2">
      <c r="A110" s="84" t="s">
        <v>85</v>
      </c>
      <c r="B110" s="84" t="s">
        <v>72</v>
      </c>
      <c r="C110" s="91">
        <v>50.829607095712568</v>
      </c>
      <c r="D110" s="92">
        <v>80.257274361651426</v>
      </c>
      <c r="E110" s="92">
        <v>41.46625842018657</v>
      </c>
      <c r="F110" s="92">
        <v>26.752424787217141</v>
      </c>
      <c r="G110" s="92">
        <v>37.453394702103999</v>
      </c>
      <c r="H110" s="92">
        <v>60.192955771238566</v>
      </c>
      <c r="I110" s="92">
        <v>70.893925686125428</v>
      </c>
      <c r="J110" s="92">
        <v>66.881061968042857</v>
      </c>
      <c r="K110" s="92">
        <v>65.543440728682</v>
      </c>
      <c r="L110" s="92">
        <v>50.829607095712568</v>
      </c>
      <c r="M110" s="92">
        <v>42.803879659547427</v>
      </c>
      <c r="N110" s="92">
        <v>41.46625842018657</v>
      </c>
      <c r="O110" s="93">
        <v>635.37008869640715</v>
      </c>
    </row>
    <row r="111" spans="1:15" x14ac:dyDescent="0.2">
      <c r="A111" s="220"/>
      <c r="B111" s="94" t="s">
        <v>25</v>
      </c>
      <c r="C111" s="95">
        <v>8.0728025754687707</v>
      </c>
      <c r="D111" s="96">
        <v>12.746530382319108</v>
      </c>
      <c r="E111" s="96">
        <v>6.5857073641982069</v>
      </c>
      <c r="F111" s="96">
        <v>4.2488434607730348</v>
      </c>
      <c r="G111" s="96">
        <v>5.9483808450822551</v>
      </c>
      <c r="H111" s="96">
        <v>9.5598977867393344</v>
      </c>
      <c r="I111" s="96">
        <v>11.259435171048551</v>
      </c>
      <c r="J111" s="96">
        <v>10.622108651932599</v>
      </c>
      <c r="K111" s="96">
        <v>10.409666478893946</v>
      </c>
      <c r="L111" s="96">
        <v>8.0728025754687707</v>
      </c>
      <c r="M111" s="96">
        <v>6.7981495372368599</v>
      </c>
      <c r="N111" s="96">
        <v>6.5857073641982069</v>
      </c>
      <c r="O111" s="97">
        <v>100.91003219335965</v>
      </c>
    </row>
    <row r="112" spans="1:15" x14ac:dyDescent="0.2">
      <c r="A112" s="220"/>
      <c r="B112" s="94" t="s">
        <v>26</v>
      </c>
      <c r="C112" s="95">
        <v>0.25153245002931263</v>
      </c>
      <c r="D112" s="96">
        <v>0.39715650004628311</v>
      </c>
      <c r="E112" s="96">
        <v>0.20519752502391295</v>
      </c>
      <c r="F112" s="96">
        <v>0.1323855000154277</v>
      </c>
      <c r="G112" s="96">
        <v>0.1853397000215988</v>
      </c>
      <c r="H112" s="96">
        <v>0.29786737503471233</v>
      </c>
      <c r="I112" s="96">
        <v>0.35082157504088346</v>
      </c>
      <c r="J112" s="96">
        <v>0.33096375003856932</v>
      </c>
      <c r="K112" s="96">
        <v>0.3243444750377979</v>
      </c>
      <c r="L112" s="96">
        <v>0.25153245002931263</v>
      </c>
      <c r="M112" s="96">
        <v>0.21181680002468434</v>
      </c>
      <c r="N112" s="96">
        <v>0.20519752502391295</v>
      </c>
      <c r="O112" s="97">
        <v>3.144155625366408</v>
      </c>
    </row>
    <row r="113" spans="1:15" x14ac:dyDescent="0.2">
      <c r="A113" s="220"/>
      <c r="B113" s="94" t="s">
        <v>27</v>
      </c>
      <c r="C113" s="95">
        <v>8.3243350254980832</v>
      </c>
      <c r="D113" s="96">
        <v>13.14368688236539</v>
      </c>
      <c r="E113" s="96">
        <v>6.7909048892221202</v>
      </c>
      <c r="F113" s="96">
        <v>4.3812289607884622</v>
      </c>
      <c r="G113" s="96">
        <v>6.1337205451038539</v>
      </c>
      <c r="H113" s="96">
        <v>9.8577651617740472</v>
      </c>
      <c r="I113" s="96">
        <v>11.610256746089435</v>
      </c>
      <c r="J113" s="96">
        <v>10.953072401971168</v>
      </c>
      <c r="K113" s="96">
        <v>10.734010953931744</v>
      </c>
      <c r="L113" s="96">
        <v>8.3243350254980832</v>
      </c>
      <c r="M113" s="96">
        <v>7.0099663372615444</v>
      </c>
      <c r="N113" s="96">
        <v>6.7909048892221202</v>
      </c>
      <c r="O113" s="97">
        <v>104.05418781872605</v>
      </c>
    </row>
    <row r="114" spans="1:15" x14ac:dyDescent="0.2">
      <c r="A114" s="220"/>
      <c r="B114" s="94" t="s">
        <v>51</v>
      </c>
      <c r="C114" s="95">
        <v>42.756804520243797</v>
      </c>
      <c r="D114" s="96">
        <v>67.510743979332318</v>
      </c>
      <c r="E114" s="96">
        <v>34.880551055988363</v>
      </c>
      <c r="F114" s="96">
        <v>22.503581326444106</v>
      </c>
      <c r="G114" s="96">
        <v>31.505013857021744</v>
      </c>
      <c r="H114" s="96">
        <v>50.633057984499231</v>
      </c>
      <c r="I114" s="96">
        <v>59.634490515076877</v>
      </c>
      <c r="J114" s="96">
        <v>56.258953316110258</v>
      </c>
      <c r="K114" s="96">
        <v>55.133774249788054</v>
      </c>
      <c r="L114" s="96">
        <v>42.756804520243797</v>
      </c>
      <c r="M114" s="96">
        <v>36.005730122310567</v>
      </c>
      <c r="N114" s="96">
        <v>34.880551055988363</v>
      </c>
      <c r="O114" s="97">
        <v>534.46005650304755</v>
      </c>
    </row>
    <row r="115" spans="1:15" x14ac:dyDescent="0.2">
      <c r="A115" s="220"/>
      <c r="B115" s="94" t="s">
        <v>89</v>
      </c>
      <c r="C115" s="95">
        <v>0</v>
      </c>
      <c r="D115" s="96">
        <v>0</v>
      </c>
      <c r="E115" s="96">
        <v>0</v>
      </c>
      <c r="F115" s="96">
        <v>0</v>
      </c>
      <c r="G115" s="96">
        <v>0</v>
      </c>
      <c r="H115" s="96">
        <v>0</v>
      </c>
      <c r="I115" s="96">
        <v>0</v>
      </c>
      <c r="J115" s="96">
        <v>0</v>
      </c>
      <c r="K115" s="96">
        <v>0</v>
      </c>
      <c r="L115" s="96">
        <v>0</v>
      </c>
      <c r="M115" s="96">
        <v>0</v>
      </c>
      <c r="N115" s="96">
        <v>0</v>
      </c>
      <c r="O115" s="97">
        <v>0</v>
      </c>
    </row>
    <row r="116" spans="1:15" x14ac:dyDescent="0.2">
      <c r="A116" s="220"/>
      <c r="B116" s="94" t="s">
        <v>91</v>
      </c>
      <c r="C116" s="95">
        <v>0</v>
      </c>
      <c r="D116" s="96">
        <v>0</v>
      </c>
      <c r="E116" s="96">
        <v>0</v>
      </c>
      <c r="F116" s="96">
        <v>0</v>
      </c>
      <c r="G116" s="96">
        <v>0</v>
      </c>
      <c r="H116" s="96">
        <v>0</v>
      </c>
      <c r="I116" s="96">
        <v>0</v>
      </c>
      <c r="J116" s="96">
        <v>0</v>
      </c>
      <c r="K116" s="96">
        <v>0</v>
      </c>
      <c r="L116" s="96">
        <v>0</v>
      </c>
      <c r="M116" s="96">
        <v>0</v>
      </c>
      <c r="N116" s="96">
        <v>0</v>
      </c>
      <c r="O116" s="97">
        <v>0</v>
      </c>
    </row>
    <row r="117" spans="1:15" x14ac:dyDescent="0.2">
      <c r="A117" s="84" t="s">
        <v>73</v>
      </c>
      <c r="B117" s="85"/>
      <c r="C117" s="91">
        <v>10247.516314743529</v>
      </c>
      <c r="D117" s="92">
        <v>12405.099373832589</v>
      </c>
      <c r="E117" s="92">
        <v>8674.473737255159</v>
      </c>
      <c r="F117" s="92">
        <v>8089.9332556544632</v>
      </c>
      <c r="G117" s="92">
        <v>10173.947146578681</v>
      </c>
      <c r="H117" s="92">
        <v>12879.954913805694</v>
      </c>
      <c r="I117" s="92">
        <v>13527.363593656348</v>
      </c>
      <c r="J117" s="92">
        <v>13627.685186608409</v>
      </c>
      <c r="K117" s="92">
        <v>13580.868443230782</v>
      </c>
      <c r="L117" s="92">
        <v>10589.947352019906</v>
      </c>
      <c r="M117" s="92">
        <v>8649.0589337073034</v>
      </c>
      <c r="N117" s="92">
        <v>9057.0334117123621</v>
      </c>
      <c r="O117" s="93">
        <v>131502.88166280522</v>
      </c>
    </row>
    <row r="118" spans="1:15" x14ac:dyDescent="0.2">
      <c r="A118" s="84" t="s">
        <v>28</v>
      </c>
      <c r="B118" s="85"/>
      <c r="C118" s="227">
        <v>1627.5194876491121</v>
      </c>
      <c r="D118" s="228">
        <v>1970.1887127604577</v>
      </c>
      <c r="E118" s="228">
        <v>1377.687492155658</v>
      </c>
      <c r="F118" s="228">
        <v>1284.8502625377669</v>
      </c>
      <c r="G118" s="228">
        <v>1615.8351681319864</v>
      </c>
      <c r="H118" s="228">
        <v>2045.6056841891796</v>
      </c>
      <c r="I118" s="228">
        <v>2148.4276959398871</v>
      </c>
      <c r="J118" s="228">
        <v>2164.3608589177857</v>
      </c>
      <c r="K118" s="228">
        <v>2156.9253828614328</v>
      </c>
      <c r="L118" s="228">
        <v>1681.904683947007</v>
      </c>
      <c r="M118" s="228">
        <v>1373.6510908679238</v>
      </c>
      <c r="N118" s="228">
        <v>1438.4459536447121</v>
      </c>
      <c r="O118" s="229">
        <v>20885.402473602906</v>
      </c>
    </row>
    <row r="119" spans="1:15" x14ac:dyDescent="0.2">
      <c r="A119" s="84" t="s">
        <v>29</v>
      </c>
      <c r="B119" s="85"/>
      <c r="C119" s="227">
        <v>50.710265780909587</v>
      </c>
      <c r="D119" s="228">
        <v>61.387156357153835</v>
      </c>
      <c r="E119" s="228">
        <v>42.925998380002433</v>
      </c>
      <c r="F119" s="228">
        <v>40.033375204665347</v>
      </c>
      <c r="G119" s="228">
        <v>50.346205655867159</v>
      </c>
      <c r="H119" s="228">
        <v>63.736998982427671</v>
      </c>
      <c r="I119" s="228">
        <v>66.940728082801044</v>
      </c>
      <c r="J119" s="228">
        <v>67.437173707858861</v>
      </c>
      <c r="K119" s="228">
        <v>67.205499082831892</v>
      </c>
      <c r="L119" s="228">
        <v>52.404800181107063</v>
      </c>
      <c r="M119" s="228">
        <v>42.800232154987775</v>
      </c>
      <c r="N119" s="228">
        <v>44.819111030223056</v>
      </c>
      <c r="O119" s="229">
        <v>650.74754460083568</v>
      </c>
    </row>
    <row r="120" spans="1:15" x14ac:dyDescent="0.2">
      <c r="A120" s="84" t="s">
        <v>30</v>
      </c>
      <c r="B120" s="85"/>
      <c r="C120" s="227">
        <v>1678.2297534300214</v>
      </c>
      <c r="D120" s="228">
        <v>2031.5758691176113</v>
      </c>
      <c r="E120" s="228">
        <v>1420.61349053566</v>
      </c>
      <c r="F120" s="228">
        <v>1324.8836377424323</v>
      </c>
      <c r="G120" s="228">
        <v>1666.1813737878533</v>
      </c>
      <c r="H120" s="228">
        <v>2109.3426831716074</v>
      </c>
      <c r="I120" s="228">
        <v>2215.368424022688</v>
      </c>
      <c r="J120" s="228">
        <v>2231.7980326256434</v>
      </c>
      <c r="K120" s="228">
        <v>2224.1308819442647</v>
      </c>
      <c r="L120" s="228">
        <v>1734.309484128114</v>
      </c>
      <c r="M120" s="228">
        <v>1416.4513230229113</v>
      </c>
      <c r="N120" s="228">
        <v>1483.2650646749344</v>
      </c>
      <c r="O120" s="229">
        <v>21536.150018203742</v>
      </c>
    </row>
    <row r="121" spans="1:15" x14ac:dyDescent="0.2">
      <c r="A121" s="84" t="s">
        <v>63</v>
      </c>
      <c r="B121" s="85"/>
      <c r="C121" s="91">
        <v>8619.9968270944155</v>
      </c>
      <c r="D121" s="92">
        <v>10434.910661072132</v>
      </c>
      <c r="E121" s="92">
        <v>7296.7862450994999</v>
      </c>
      <c r="F121" s="92">
        <v>6805.0829931166973</v>
      </c>
      <c r="G121" s="92">
        <v>8558.1119784466937</v>
      </c>
      <c r="H121" s="92">
        <v>10834.349229616515</v>
      </c>
      <c r="I121" s="92">
        <v>11378.935897716461</v>
      </c>
      <c r="J121" s="92">
        <v>11463.324327690625</v>
      </c>
      <c r="K121" s="92">
        <v>11423.943060369351</v>
      </c>
      <c r="L121" s="92">
        <v>8908.0426680728997</v>
      </c>
      <c r="M121" s="92">
        <v>7275.4078428393786</v>
      </c>
      <c r="N121" s="92">
        <v>7618.5874580676509</v>
      </c>
      <c r="O121" s="93">
        <v>110617.47918920231</v>
      </c>
    </row>
    <row r="122" spans="1:15" x14ac:dyDescent="0.2">
      <c r="A122" s="84" t="s">
        <v>90</v>
      </c>
      <c r="B122" s="85"/>
      <c r="C122" s="91">
        <v>0</v>
      </c>
      <c r="D122" s="92">
        <v>0</v>
      </c>
      <c r="E122" s="92">
        <v>0</v>
      </c>
      <c r="F122" s="92">
        <v>0</v>
      </c>
      <c r="G122" s="92">
        <v>0</v>
      </c>
      <c r="H122" s="92">
        <v>0</v>
      </c>
      <c r="I122" s="92">
        <v>0</v>
      </c>
      <c r="J122" s="92">
        <v>0</v>
      </c>
      <c r="K122" s="92">
        <v>0</v>
      </c>
      <c r="L122" s="92">
        <v>0</v>
      </c>
      <c r="M122" s="92">
        <v>0</v>
      </c>
      <c r="N122" s="92">
        <v>0</v>
      </c>
      <c r="O122" s="93">
        <v>0</v>
      </c>
    </row>
    <row r="123" spans="1:15" x14ac:dyDescent="0.2">
      <c r="A123" s="98" t="s">
        <v>92</v>
      </c>
      <c r="B123" s="221"/>
      <c r="C123" s="99">
        <v>0</v>
      </c>
      <c r="D123" s="100">
        <v>0</v>
      </c>
      <c r="E123" s="100">
        <v>0</v>
      </c>
      <c r="F123" s="100">
        <v>0</v>
      </c>
      <c r="G123" s="100">
        <v>0</v>
      </c>
      <c r="H123" s="100">
        <v>0</v>
      </c>
      <c r="I123" s="100">
        <v>0</v>
      </c>
      <c r="J123" s="100">
        <v>0</v>
      </c>
      <c r="K123" s="100">
        <v>0</v>
      </c>
      <c r="L123" s="100">
        <v>0</v>
      </c>
      <c r="M123" s="100">
        <v>0</v>
      </c>
      <c r="N123" s="100">
        <v>0</v>
      </c>
      <c r="O123" s="101">
        <v>0</v>
      </c>
    </row>
  </sheetData>
  <phoneticPr fontId="6" type="noConversion"/>
  <pageMargins left="0.5" right="0.5" top="0.73" bottom="0.98" header="0.5" footer="0.5"/>
  <pageSetup scale="54" fitToHeight="0" orientation="landscape" horizontalDpi="1200" verticalDpi="1200" r:id="rId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pageSetUpPr fitToPage="1"/>
  </sheetPr>
  <dimension ref="A1:S220"/>
  <sheetViews>
    <sheetView showGridLines="0" zoomScale="80" zoomScaleNormal="80" zoomScaleSheetLayoutView="100" workbookViewId="0">
      <selection activeCell="N20" sqref="N20"/>
    </sheetView>
  </sheetViews>
  <sheetFormatPr defaultColWidth="8.7109375" defaultRowHeight="12.75" x14ac:dyDescent="0.2"/>
  <cols>
    <col min="1" max="1" width="0.5703125" style="1" customWidth="1"/>
    <col min="2" max="2" width="10.28515625" style="1" bestFit="1" customWidth="1"/>
    <col min="3" max="3" width="10.7109375" style="1" bestFit="1" customWidth="1"/>
    <col min="4" max="4" width="11" style="149" customWidth="1"/>
    <col min="5" max="5" width="24.28515625" style="1" customWidth="1"/>
    <col min="6" max="6" width="7.7109375" style="149" customWidth="1"/>
    <col min="7" max="7" width="6.7109375" style="149" customWidth="1"/>
    <col min="8" max="8" width="11.140625" style="149" bestFit="1" customWidth="1"/>
    <col min="9" max="9" width="11.28515625" style="150" customWidth="1"/>
    <col min="10" max="10" width="13.7109375" style="149" customWidth="1"/>
    <col min="11" max="11" width="13.5703125" style="151" customWidth="1"/>
    <col min="12" max="12" width="14.7109375" style="149" customWidth="1"/>
    <col min="13" max="13" width="13.42578125" style="112" bestFit="1" customWidth="1"/>
    <col min="14" max="17" width="13.42578125" style="112" customWidth="1"/>
    <col min="18" max="18" width="15.5703125" style="219" customWidth="1"/>
    <col min="19" max="16384" width="8.7109375" style="1"/>
  </cols>
  <sheetData>
    <row r="1" spans="2:18" ht="22.5" x14ac:dyDescent="0.2">
      <c r="B1" s="10" t="s">
        <v>98</v>
      </c>
      <c r="C1" s="102"/>
      <c r="D1" s="103"/>
      <c r="E1" s="102"/>
      <c r="F1" s="104" t="s">
        <v>12</v>
      </c>
      <c r="G1" s="105"/>
      <c r="H1" s="106"/>
      <c r="I1" s="107"/>
      <c r="J1" s="243" t="str">
        <f>"True-Up ARR
(CY"&amp;R1&amp;")"</f>
        <v>True-Up ARR
(CY2021)</v>
      </c>
      <c r="K1" s="243" t="str">
        <f>"Projected ARR
(Jan'"&amp;RIGHT(R$1,2)&amp;" - Dec'"&amp;RIGHT(R$1,2)&amp;")"</f>
        <v>Projected ARR
(Jan'21 - Dec'21)</v>
      </c>
      <c r="L1" s="108" t="s">
        <v>47</v>
      </c>
      <c r="M1" s="109"/>
      <c r="N1" s="52"/>
      <c r="O1" s="52"/>
      <c r="P1" s="52"/>
      <c r="Q1" s="52"/>
      <c r="R1" s="110">
        <v>2021</v>
      </c>
    </row>
    <row r="2" spans="2:18" x14ac:dyDescent="0.2">
      <c r="B2" s="10" t="s">
        <v>54</v>
      </c>
      <c r="C2" s="102"/>
      <c r="D2" s="103"/>
      <c r="E2" s="102"/>
      <c r="F2" s="111">
        <v>9</v>
      </c>
      <c r="G2" s="250"/>
      <c r="H2" s="250"/>
      <c r="I2" s="113" t="s">
        <v>6</v>
      </c>
      <c r="J2" s="114">
        <v>131502.88166280524</v>
      </c>
      <c r="K2" s="114">
        <v>110552.87604249152</v>
      </c>
      <c r="L2" s="115"/>
      <c r="M2" s="116"/>
      <c r="N2" s="52"/>
      <c r="O2" s="52"/>
      <c r="P2" s="52"/>
      <c r="Q2" s="52"/>
      <c r="R2" s="1"/>
    </row>
    <row r="3" spans="2:18" x14ac:dyDescent="0.2">
      <c r="B3" s="10" t="str">
        <f>"for CY"&amp;R1&amp;" SPP Network Transmission Service"</f>
        <v>for CY2021 SPP Network Transmission Service</v>
      </c>
      <c r="C3" s="102"/>
      <c r="D3" s="103"/>
      <c r="E3" s="102"/>
      <c r="F3" s="111"/>
      <c r="G3" s="250"/>
      <c r="H3" s="250"/>
      <c r="I3" s="113" t="s">
        <v>10</v>
      </c>
      <c r="J3" s="117">
        <v>1.3376212393608571</v>
      </c>
      <c r="K3" s="117">
        <v>1.1251790663222052</v>
      </c>
      <c r="L3" s="118" t="str">
        <f>"Inv. Jan-Dec'"&amp;RIGHT(R1,2)</f>
        <v>Inv. Jan-Dec'21</v>
      </c>
      <c r="M3" s="116"/>
      <c r="N3" s="52"/>
      <c r="O3" s="52"/>
      <c r="P3" s="52"/>
      <c r="Q3" s="52"/>
      <c r="R3" s="1"/>
    </row>
    <row r="4" spans="2:18" x14ac:dyDescent="0.2">
      <c r="B4" s="9"/>
      <c r="C4" s="102"/>
      <c r="D4" s="103"/>
      <c r="E4" s="102"/>
      <c r="F4" s="111"/>
      <c r="G4" s="112"/>
      <c r="H4" s="112"/>
      <c r="I4" s="51"/>
      <c r="J4" s="112"/>
      <c r="K4" s="119"/>
      <c r="L4" s="112"/>
      <c r="M4" s="120"/>
      <c r="P4" s="52"/>
      <c r="Q4" s="52"/>
      <c r="R4" s="1"/>
    </row>
    <row r="5" spans="2:18" x14ac:dyDescent="0.2">
      <c r="B5" s="9"/>
      <c r="C5" s="102"/>
      <c r="D5" s="103"/>
      <c r="E5" s="102"/>
      <c r="F5" s="111"/>
      <c r="G5" s="112"/>
      <c r="H5" s="112"/>
      <c r="I5" s="113"/>
      <c r="J5" s="112"/>
      <c r="K5" s="114">
        <v>0</v>
      </c>
      <c r="L5" s="115"/>
      <c r="M5" s="121"/>
      <c r="N5" s="122"/>
      <c r="O5" s="122"/>
      <c r="P5" s="52"/>
      <c r="Q5" s="52"/>
      <c r="R5" s="123"/>
    </row>
    <row r="6" spans="2:18" x14ac:dyDescent="0.2">
      <c r="B6" s="10" t="s">
        <v>23</v>
      </c>
      <c r="D6" s="103"/>
      <c r="E6" s="102"/>
      <c r="F6" s="124"/>
      <c r="G6" s="125"/>
      <c r="H6" s="126"/>
      <c r="I6" s="127"/>
      <c r="J6" s="128"/>
      <c r="K6" s="117">
        <v>0</v>
      </c>
      <c r="L6" s="223"/>
      <c r="M6" s="121"/>
      <c r="N6" s="122"/>
      <c r="O6" s="122"/>
      <c r="P6" s="122"/>
      <c r="Q6" s="122"/>
      <c r="R6" s="1"/>
    </row>
    <row r="7" spans="2:18" x14ac:dyDescent="0.2">
      <c r="B7" s="9" t="s">
        <v>79</v>
      </c>
      <c r="D7" s="103"/>
      <c r="E7" s="102"/>
      <c r="F7" s="111"/>
      <c r="G7" s="251"/>
      <c r="H7" s="250"/>
      <c r="I7" s="113"/>
      <c r="J7" s="129"/>
      <c r="K7" s="115"/>
      <c r="L7" s="115"/>
      <c r="M7" s="130"/>
      <c r="N7" s="131"/>
      <c r="O7" s="131"/>
      <c r="P7" s="131"/>
      <c r="Q7" s="131"/>
      <c r="R7" s="1"/>
    </row>
    <row r="8" spans="2:18" x14ac:dyDescent="0.2">
      <c r="B8" s="10"/>
      <c r="C8" s="102"/>
      <c r="D8" s="103"/>
      <c r="E8" s="102"/>
      <c r="F8" s="111"/>
      <c r="G8" s="250"/>
      <c r="H8" s="250"/>
      <c r="I8" s="113"/>
      <c r="J8" s="132"/>
      <c r="K8" s="115"/>
      <c r="L8" s="133"/>
      <c r="M8" s="116"/>
      <c r="N8" s="52"/>
      <c r="O8" s="52"/>
      <c r="P8" s="52"/>
      <c r="Q8" s="52"/>
      <c r="R8" s="123"/>
    </row>
    <row r="9" spans="2:18" x14ac:dyDescent="0.2">
      <c r="B9" s="134"/>
      <c r="C9" s="102"/>
      <c r="D9" s="103"/>
      <c r="E9" s="102"/>
      <c r="F9" s="111"/>
      <c r="G9" s="112"/>
      <c r="H9" s="112"/>
      <c r="I9" s="135"/>
      <c r="J9" s="136"/>
      <c r="K9" s="137"/>
      <c r="L9" s="138"/>
      <c r="M9" s="116"/>
      <c r="N9" s="52"/>
      <c r="O9" s="52"/>
      <c r="P9" s="52"/>
      <c r="Q9" s="52"/>
      <c r="R9" s="123"/>
    </row>
    <row r="10" spans="2:18" ht="13.5" thickBot="1" x14ac:dyDescent="0.25">
      <c r="B10" s="9"/>
      <c r="D10" s="1"/>
      <c r="E10" s="139"/>
      <c r="F10" s="140"/>
      <c r="G10" s="141"/>
      <c r="H10" s="142"/>
      <c r="I10" s="143"/>
      <c r="J10" s="144"/>
      <c r="K10" s="144"/>
      <c r="L10" s="145"/>
      <c r="M10" s="146"/>
      <c r="R10" s="147"/>
    </row>
    <row r="11" spans="2:18" x14ac:dyDescent="0.2">
      <c r="B11" s="148" t="s">
        <v>97</v>
      </c>
      <c r="E11" s="139"/>
      <c r="L11" s="152"/>
      <c r="M11" s="1"/>
      <c r="N11" s="1"/>
      <c r="O11" s="1"/>
      <c r="P11" s="1"/>
      <c r="Q11" s="1"/>
      <c r="R11" s="123"/>
    </row>
    <row r="12" spans="2:18" x14ac:dyDescent="0.2">
      <c r="E12" s="139"/>
      <c r="J12" s="222"/>
      <c r="L12" s="152"/>
      <c r="R12" s="153" t="s">
        <v>62</v>
      </c>
    </row>
    <row r="13" spans="2:18" x14ac:dyDescent="0.2">
      <c r="E13" s="139"/>
      <c r="F13" s="154"/>
      <c r="G13" s="155"/>
      <c r="H13" s="155"/>
      <c r="I13" s="156" t="s">
        <v>60</v>
      </c>
      <c r="J13" s="157">
        <f t="shared" ref="J13:R13" si="0">SUM(J56:J211)</f>
        <v>34220.364166568805</v>
      </c>
      <c r="K13" s="157">
        <f t="shared" si="0"/>
        <v>28785.456053720962</v>
      </c>
      <c r="L13" s="158">
        <f t="shared" si="0"/>
        <v>5434.9081128478383</v>
      </c>
      <c r="M13" s="159">
        <f t="shared" si="0"/>
        <v>169.34091234473451</v>
      </c>
      <c r="N13" s="157">
        <f t="shared" si="0"/>
        <v>5604.2490251925619</v>
      </c>
      <c r="O13" s="157">
        <f t="shared" si="0"/>
        <v>0</v>
      </c>
      <c r="P13" s="157">
        <f t="shared" si="0"/>
        <v>0</v>
      </c>
      <c r="Q13" s="157">
        <f t="shared" si="0"/>
        <v>0</v>
      </c>
      <c r="R13" s="158">
        <f t="shared" si="0"/>
        <v>5604.2490251925619</v>
      </c>
    </row>
    <row r="14" spans="2:18" x14ac:dyDescent="0.2">
      <c r="E14" s="139"/>
      <c r="F14" s="160"/>
      <c r="G14" s="160"/>
      <c r="H14" s="160"/>
      <c r="I14" s="161" t="s">
        <v>61</v>
      </c>
      <c r="J14" s="157">
        <f>SUM(J20:J211)</f>
        <v>131502.88166280527</v>
      </c>
      <c r="K14" s="157">
        <f>SUM(K20:K211)</f>
        <v>110617.47918920245</v>
      </c>
      <c r="L14" s="158">
        <f>SUM(L20:L211)</f>
        <v>20885.402473602797</v>
      </c>
      <c r="M14" s="230">
        <v>650.74754460083568</v>
      </c>
      <c r="N14" s="157">
        <f>SUM(N20:N211)</f>
        <v>21536.150018203763</v>
      </c>
      <c r="O14" s="157">
        <f>SUM(O20:O211)</f>
        <v>0</v>
      </c>
      <c r="P14" s="157">
        <f>SUM(P20:P211)</f>
        <v>0</v>
      </c>
      <c r="Q14" s="157">
        <f>SUM(Q20:Q211)</f>
        <v>0</v>
      </c>
      <c r="R14" s="158">
        <f>SUM(R20:R211)</f>
        <v>21536.150018203763</v>
      </c>
    </row>
    <row r="15" spans="2:18" x14ac:dyDescent="0.2">
      <c r="B15" s="162" t="s">
        <v>84</v>
      </c>
      <c r="E15" s="139"/>
      <c r="J15" s="150"/>
      <c r="L15" s="152"/>
      <c r="M15" s="244"/>
      <c r="N15" s="163"/>
      <c r="O15" s="163"/>
      <c r="P15" s="163"/>
      <c r="Q15" s="163"/>
      <c r="R15" s="164" t="s">
        <v>20</v>
      </c>
    </row>
    <row r="16" spans="2:18" x14ac:dyDescent="0.2">
      <c r="B16" s="165" t="str">
        <f>"** Actual Trued-Up CY"&amp;R1&amp;" Charge reflects "&amp;R1&amp;" True-UP Rate x MW"</f>
        <v>** Actual Trued-Up CY2021 Charge reflects 2021 True-UP Rate x MW</v>
      </c>
      <c r="E16" s="139"/>
      <c r="F16" s="112"/>
      <c r="G16" s="5"/>
      <c r="J16" s="166"/>
      <c r="L16" s="167" t="s">
        <v>11</v>
      </c>
      <c r="M16" s="163"/>
      <c r="N16" s="163"/>
      <c r="O16" s="163"/>
      <c r="P16" s="163"/>
      <c r="Q16" s="163"/>
      <c r="R16" s="168"/>
    </row>
    <row r="17" spans="1:18" x14ac:dyDescent="0.2">
      <c r="B17" s="169" t="s">
        <v>64</v>
      </c>
      <c r="E17" s="139"/>
      <c r="I17" s="170"/>
      <c r="J17" s="171"/>
      <c r="K17" s="172"/>
      <c r="L17" s="172"/>
      <c r="M17" s="172"/>
      <c r="N17" s="172"/>
      <c r="O17" s="172"/>
      <c r="P17" s="172"/>
      <c r="Q17" s="172"/>
      <c r="R17" s="173"/>
    </row>
    <row r="18" spans="1:18" ht="3.6" customHeight="1" x14ac:dyDescent="0.2">
      <c r="I18" s="174"/>
      <c r="J18" s="171"/>
      <c r="K18" s="174"/>
      <c r="L18" s="174"/>
      <c r="M18" s="175"/>
      <c r="N18" s="175"/>
      <c r="O18" s="175"/>
      <c r="P18" s="175"/>
      <c r="Q18" s="175"/>
      <c r="R18" s="176"/>
    </row>
    <row r="19" spans="1:18" ht="38.25" customHeight="1" x14ac:dyDescent="0.2">
      <c r="B19" s="177" t="s">
        <v>55</v>
      </c>
      <c r="C19" s="245" t="s">
        <v>4</v>
      </c>
      <c r="D19" s="245" t="s">
        <v>5</v>
      </c>
      <c r="E19" s="246" t="s">
        <v>0</v>
      </c>
      <c r="F19" s="247" t="s">
        <v>12</v>
      </c>
      <c r="G19" s="248" t="s">
        <v>1</v>
      </c>
      <c r="H19" s="178" t="s">
        <v>50</v>
      </c>
      <c r="I19" s="178" t="s">
        <v>48</v>
      </c>
      <c r="J19" s="179" t="str">
        <f>"True-Up Charge"</f>
        <v>True-Up Charge</v>
      </c>
      <c r="K19" s="179" t="s">
        <v>49</v>
      </c>
      <c r="L19" s="180" t="s">
        <v>3</v>
      </c>
      <c r="M19" s="181" t="s">
        <v>7</v>
      </c>
      <c r="N19" s="182" t="s">
        <v>103</v>
      </c>
      <c r="O19" s="182" t="s">
        <v>86</v>
      </c>
      <c r="P19" s="182" t="s">
        <v>87</v>
      </c>
      <c r="Q19" s="182" t="s">
        <v>88</v>
      </c>
      <c r="R19" s="183" t="s">
        <v>2</v>
      </c>
    </row>
    <row r="20" spans="1:18" s="52" customFormat="1" ht="12.75" customHeight="1" x14ac:dyDescent="0.2">
      <c r="A20" s="112">
        <v>1</v>
      </c>
      <c r="B20" s="184">
        <f>DATE($R$1,A20,1)</f>
        <v>44197</v>
      </c>
      <c r="C20" s="185">
        <v>44230</v>
      </c>
      <c r="D20" s="185">
        <v>44251</v>
      </c>
      <c r="E20" s="186" t="s">
        <v>21</v>
      </c>
      <c r="F20" s="112">
        <v>9</v>
      </c>
      <c r="G20" s="187">
        <v>2536</v>
      </c>
      <c r="H20" s="188">
        <f>+$K$3</f>
        <v>1.1251790663222052</v>
      </c>
      <c r="I20" s="188">
        <f t="shared" ref="I20:I63" si="1">$J$3</f>
        <v>1.3376212393608571</v>
      </c>
      <c r="J20" s="189">
        <f t="shared" ref="J20:J108" si="2">+$G20*I20</f>
        <v>3392.2074630191337</v>
      </c>
      <c r="K20" s="190">
        <f>+$G20*H20</f>
        <v>2853.4541121931125</v>
      </c>
      <c r="L20" s="191">
        <f t="shared" ref="L20:L34" si="3">+J20-K20</f>
        <v>538.75335082602123</v>
      </c>
      <c r="M20" s="192">
        <f>G20/$G$212*$M$14</f>
        <v>16.786481401956234</v>
      </c>
      <c r="N20" s="193">
        <f>SUM(L20:M20)</f>
        <v>555.53983222797751</v>
      </c>
      <c r="O20" s="192">
        <v>0</v>
      </c>
      <c r="P20" s="192">
        <v>0</v>
      </c>
      <c r="Q20" s="192">
        <v>0</v>
      </c>
      <c r="R20" s="193">
        <f>+N20-Q20</f>
        <v>555.53983222797751</v>
      </c>
    </row>
    <row r="21" spans="1:18" x14ac:dyDescent="0.2">
      <c r="A21" s="149">
        <v>2</v>
      </c>
      <c r="B21" s="184">
        <f t="shared" ref="B21:B108" si="4">DATE($R$1,A21,1)</f>
        <v>44228</v>
      </c>
      <c r="C21" s="185">
        <v>44258</v>
      </c>
      <c r="D21" s="185">
        <v>44279</v>
      </c>
      <c r="E21" s="194" t="s">
        <v>21</v>
      </c>
      <c r="F21" s="149">
        <v>9</v>
      </c>
      <c r="G21" s="187">
        <v>2976</v>
      </c>
      <c r="H21" s="188">
        <f t="shared" ref="H21:H84" si="5">+$K$3</f>
        <v>1.1251790663222052</v>
      </c>
      <c r="I21" s="188">
        <f t="shared" si="1"/>
        <v>1.3376212393608571</v>
      </c>
      <c r="J21" s="189">
        <f t="shared" si="2"/>
        <v>3980.7608083379105</v>
      </c>
      <c r="K21" s="190">
        <f t="shared" ref="K21:K33" si="6">+$G21*H21</f>
        <v>3348.5329013748828</v>
      </c>
      <c r="L21" s="191">
        <f t="shared" si="3"/>
        <v>632.22790696302764</v>
      </c>
      <c r="M21" s="192">
        <f t="shared" ref="M21:M84" si="7">G21/$G$212*$M$14</f>
        <v>19.698962402295642</v>
      </c>
      <c r="N21" s="193">
        <f t="shared" ref="N21:N84" si="8">SUM(L21:M21)</f>
        <v>651.92686936532323</v>
      </c>
      <c r="O21" s="192">
        <v>0</v>
      </c>
      <c r="P21" s="192">
        <v>0</v>
      </c>
      <c r="Q21" s="192">
        <v>0</v>
      </c>
      <c r="R21" s="193">
        <f t="shared" ref="R21:R84" si="9">+N21-Q21</f>
        <v>651.92686936532323</v>
      </c>
    </row>
    <row r="22" spans="1:18" x14ac:dyDescent="0.2">
      <c r="A22" s="149">
        <v>3</v>
      </c>
      <c r="B22" s="184">
        <f t="shared" si="4"/>
        <v>44256</v>
      </c>
      <c r="C22" s="185">
        <v>44291</v>
      </c>
      <c r="D22" s="185">
        <v>44312</v>
      </c>
      <c r="E22" s="194" t="s">
        <v>21</v>
      </c>
      <c r="F22" s="149">
        <v>9</v>
      </c>
      <c r="G22" s="187">
        <v>2203</v>
      </c>
      <c r="H22" s="188">
        <f t="shared" si="5"/>
        <v>1.1251790663222052</v>
      </c>
      <c r="I22" s="188">
        <f t="shared" si="1"/>
        <v>1.3376212393608571</v>
      </c>
      <c r="J22" s="189">
        <f t="shared" si="2"/>
        <v>2946.7795903119681</v>
      </c>
      <c r="K22" s="190">
        <f t="shared" si="6"/>
        <v>2478.7694831078179</v>
      </c>
      <c r="L22" s="191">
        <f t="shared" si="3"/>
        <v>468.01010720415024</v>
      </c>
      <c r="M22" s="192">
        <f t="shared" si="7"/>
        <v>14.582262826699363</v>
      </c>
      <c r="N22" s="193">
        <f t="shared" si="8"/>
        <v>482.59237003084962</v>
      </c>
      <c r="O22" s="192">
        <v>0</v>
      </c>
      <c r="P22" s="192">
        <v>0</v>
      </c>
      <c r="Q22" s="192">
        <v>0</v>
      </c>
      <c r="R22" s="193">
        <f t="shared" si="9"/>
        <v>482.59237003084962</v>
      </c>
    </row>
    <row r="23" spans="1:18" x14ac:dyDescent="0.2">
      <c r="A23" s="112">
        <v>4</v>
      </c>
      <c r="B23" s="184">
        <f t="shared" si="4"/>
        <v>44287</v>
      </c>
      <c r="C23" s="185">
        <v>44321</v>
      </c>
      <c r="D23" s="185">
        <v>44340</v>
      </c>
      <c r="E23" s="194" t="s">
        <v>21</v>
      </c>
      <c r="F23" s="149">
        <v>9</v>
      </c>
      <c r="G23" s="187">
        <v>2146</v>
      </c>
      <c r="H23" s="188">
        <f t="shared" si="5"/>
        <v>1.1251790663222052</v>
      </c>
      <c r="I23" s="188">
        <f t="shared" si="1"/>
        <v>1.3376212393608571</v>
      </c>
      <c r="J23" s="189">
        <f t="shared" si="2"/>
        <v>2870.5351796683995</v>
      </c>
      <c r="K23" s="190">
        <f t="shared" si="6"/>
        <v>2414.6342763274524</v>
      </c>
      <c r="L23" s="191">
        <f t="shared" si="3"/>
        <v>455.90090334094702</v>
      </c>
      <c r="M23" s="192">
        <f t="shared" si="7"/>
        <v>14.204964151655394</v>
      </c>
      <c r="N23" s="193">
        <f t="shared" si="8"/>
        <v>470.10586749260244</v>
      </c>
      <c r="O23" s="192">
        <v>0</v>
      </c>
      <c r="P23" s="192">
        <v>0</v>
      </c>
      <c r="Q23" s="192">
        <v>0</v>
      </c>
      <c r="R23" s="193">
        <f t="shared" si="9"/>
        <v>470.10586749260244</v>
      </c>
    </row>
    <row r="24" spans="1:18" ht="12" customHeight="1" x14ac:dyDescent="0.2">
      <c r="A24" s="149">
        <v>5</v>
      </c>
      <c r="B24" s="184">
        <f t="shared" si="4"/>
        <v>44317</v>
      </c>
      <c r="C24" s="185">
        <v>44350</v>
      </c>
      <c r="D24" s="185">
        <v>44371</v>
      </c>
      <c r="E24" s="54" t="s">
        <v>21</v>
      </c>
      <c r="F24" s="149">
        <v>9</v>
      </c>
      <c r="G24" s="187">
        <v>2961</v>
      </c>
      <c r="H24" s="188">
        <f t="shared" si="5"/>
        <v>1.1251790663222052</v>
      </c>
      <c r="I24" s="188">
        <f t="shared" si="1"/>
        <v>1.3376212393608571</v>
      </c>
      <c r="J24" s="189">
        <f t="shared" si="2"/>
        <v>3960.6964897474977</v>
      </c>
      <c r="K24" s="190">
        <f t="shared" si="6"/>
        <v>3331.6552153800494</v>
      </c>
      <c r="L24" s="191">
        <f t="shared" si="3"/>
        <v>629.0412743674483</v>
      </c>
      <c r="M24" s="192">
        <f t="shared" si="7"/>
        <v>19.599673277284072</v>
      </c>
      <c r="N24" s="193">
        <f t="shared" si="8"/>
        <v>648.64094764473236</v>
      </c>
      <c r="O24" s="192">
        <v>0</v>
      </c>
      <c r="P24" s="192">
        <v>0</v>
      </c>
      <c r="Q24" s="192">
        <v>0</v>
      </c>
      <c r="R24" s="193">
        <f t="shared" si="9"/>
        <v>648.64094764473236</v>
      </c>
    </row>
    <row r="25" spans="1:18" x14ac:dyDescent="0.2">
      <c r="A25" s="149">
        <v>6</v>
      </c>
      <c r="B25" s="184">
        <f t="shared" si="4"/>
        <v>44348</v>
      </c>
      <c r="C25" s="185">
        <v>44383</v>
      </c>
      <c r="D25" s="185">
        <v>44401</v>
      </c>
      <c r="E25" s="54" t="s">
        <v>21</v>
      </c>
      <c r="F25" s="149">
        <v>9</v>
      </c>
      <c r="G25" s="187">
        <v>3827</v>
      </c>
      <c r="H25" s="188">
        <f t="shared" si="5"/>
        <v>1.1251790663222052</v>
      </c>
      <c r="I25" s="188">
        <f t="shared" si="1"/>
        <v>1.3376212393608571</v>
      </c>
      <c r="J25" s="189">
        <f t="shared" si="2"/>
        <v>5119.0764830340004</v>
      </c>
      <c r="K25" s="190">
        <f t="shared" si="6"/>
        <v>4306.0602868150791</v>
      </c>
      <c r="L25" s="195">
        <f t="shared" si="3"/>
        <v>813.01619621892132</v>
      </c>
      <c r="M25" s="192">
        <f t="shared" si="7"/>
        <v>25.331965427952092</v>
      </c>
      <c r="N25" s="193">
        <f t="shared" si="8"/>
        <v>838.34816164687345</v>
      </c>
      <c r="O25" s="192">
        <v>0</v>
      </c>
      <c r="P25" s="192">
        <v>0</v>
      </c>
      <c r="Q25" s="192">
        <v>0</v>
      </c>
      <c r="R25" s="193">
        <f t="shared" si="9"/>
        <v>838.34816164687345</v>
      </c>
    </row>
    <row r="26" spans="1:18" x14ac:dyDescent="0.2">
      <c r="A26" s="112">
        <v>7</v>
      </c>
      <c r="B26" s="184">
        <f t="shared" si="4"/>
        <v>44378</v>
      </c>
      <c r="C26" s="185">
        <v>44412</v>
      </c>
      <c r="D26" s="185">
        <v>44432</v>
      </c>
      <c r="E26" s="54" t="s">
        <v>21</v>
      </c>
      <c r="F26" s="149">
        <v>9</v>
      </c>
      <c r="G26" s="187">
        <v>3938</v>
      </c>
      <c r="H26" s="188">
        <f t="shared" si="5"/>
        <v>1.1251790663222052</v>
      </c>
      <c r="I26" s="188">
        <f t="shared" si="1"/>
        <v>1.3376212393608571</v>
      </c>
      <c r="J26" s="189">
        <f t="shared" si="2"/>
        <v>5267.5524406030554</v>
      </c>
      <c r="K26" s="196">
        <f t="shared" si="6"/>
        <v>4430.9551631768445</v>
      </c>
      <c r="L26" s="195">
        <f t="shared" si="3"/>
        <v>836.59727742621089</v>
      </c>
      <c r="M26" s="192">
        <f t="shared" si="7"/>
        <v>26.066704953037714</v>
      </c>
      <c r="N26" s="193">
        <f t="shared" si="8"/>
        <v>862.66398237924864</v>
      </c>
      <c r="O26" s="192">
        <v>0</v>
      </c>
      <c r="P26" s="192">
        <v>0</v>
      </c>
      <c r="Q26" s="192">
        <v>0</v>
      </c>
      <c r="R26" s="193">
        <f t="shared" si="9"/>
        <v>862.66398237924864</v>
      </c>
    </row>
    <row r="27" spans="1:18" x14ac:dyDescent="0.2">
      <c r="A27" s="149">
        <v>8</v>
      </c>
      <c r="B27" s="184">
        <f t="shared" si="4"/>
        <v>44409</v>
      </c>
      <c r="C27" s="185">
        <v>44442</v>
      </c>
      <c r="D27" s="185">
        <v>44463</v>
      </c>
      <c r="E27" s="54" t="s">
        <v>21</v>
      </c>
      <c r="F27" s="149">
        <v>9</v>
      </c>
      <c r="G27" s="187">
        <v>4002</v>
      </c>
      <c r="H27" s="188">
        <f t="shared" si="5"/>
        <v>1.1251790663222052</v>
      </c>
      <c r="I27" s="188">
        <f t="shared" si="1"/>
        <v>1.3376212393608571</v>
      </c>
      <c r="J27" s="189">
        <f t="shared" si="2"/>
        <v>5353.1601999221502</v>
      </c>
      <c r="K27" s="196">
        <f t="shared" si="6"/>
        <v>4502.9666234214656</v>
      </c>
      <c r="L27" s="195">
        <f t="shared" si="3"/>
        <v>850.19357650068469</v>
      </c>
      <c r="M27" s="192">
        <f t="shared" si="7"/>
        <v>26.490338553087081</v>
      </c>
      <c r="N27" s="193">
        <f t="shared" si="8"/>
        <v>876.68391505377178</v>
      </c>
      <c r="O27" s="192">
        <v>0</v>
      </c>
      <c r="P27" s="192">
        <v>0</v>
      </c>
      <c r="Q27" s="192">
        <v>0</v>
      </c>
      <c r="R27" s="193">
        <f t="shared" si="9"/>
        <v>876.68391505377178</v>
      </c>
    </row>
    <row r="28" spans="1:18" x14ac:dyDescent="0.2">
      <c r="A28" s="149">
        <v>9</v>
      </c>
      <c r="B28" s="184">
        <f t="shared" si="4"/>
        <v>44440</v>
      </c>
      <c r="C28" s="185">
        <v>44474</v>
      </c>
      <c r="D28" s="185">
        <v>44494</v>
      </c>
      <c r="E28" s="54" t="s">
        <v>21</v>
      </c>
      <c r="F28" s="149">
        <v>9</v>
      </c>
      <c r="G28" s="187">
        <v>4029</v>
      </c>
      <c r="H28" s="188">
        <f t="shared" si="5"/>
        <v>1.1251790663222052</v>
      </c>
      <c r="I28" s="188">
        <f t="shared" si="1"/>
        <v>1.3376212393608571</v>
      </c>
      <c r="J28" s="189">
        <f t="shared" si="2"/>
        <v>5389.2759733848934</v>
      </c>
      <c r="K28" s="196">
        <f t="shared" si="6"/>
        <v>4533.3464582121651</v>
      </c>
      <c r="L28" s="195">
        <f t="shared" si="3"/>
        <v>855.92951517272832</v>
      </c>
      <c r="M28" s="192">
        <f t="shared" si="7"/>
        <v>26.669058978107913</v>
      </c>
      <c r="N28" s="193">
        <f t="shared" si="8"/>
        <v>882.59857415083627</v>
      </c>
      <c r="O28" s="192">
        <v>0</v>
      </c>
      <c r="P28" s="192">
        <v>0</v>
      </c>
      <c r="Q28" s="192">
        <v>0</v>
      </c>
      <c r="R28" s="193">
        <f t="shared" si="9"/>
        <v>882.59857415083627</v>
      </c>
    </row>
    <row r="29" spans="1:18" x14ac:dyDescent="0.2">
      <c r="A29" s="112">
        <v>10</v>
      </c>
      <c r="B29" s="184">
        <f t="shared" si="4"/>
        <v>44470</v>
      </c>
      <c r="C29" s="185">
        <v>44503</v>
      </c>
      <c r="D29" s="185">
        <v>44524</v>
      </c>
      <c r="E29" s="54" t="s">
        <v>21</v>
      </c>
      <c r="F29" s="149">
        <v>9</v>
      </c>
      <c r="G29" s="187">
        <v>3123</v>
      </c>
      <c r="H29" s="188">
        <f t="shared" si="5"/>
        <v>1.1251790663222052</v>
      </c>
      <c r="I29" s="188">
        <f t="shared" si="1"/>
        <v>1.3376212393608571</v>
      </c>
      <c r="J29" s="189">
        <f t="shared" si="2"/>
        <v>4177.3911305239562</v>
      </c>
      <c r="K29" s="196">
        <f t="shared" si="6"/>
        <v>3513.9342241242471</v>
      </c>
      <c r="L29" s="195">
        <f t="shared" si="3"/>
        <v>663.45690639970917</v>
      </c>
      <c r="M29" s="192">
        <f t="shared" si="7"/>
        <v>20.671995827409038</v>
      </c>
      <c r="N29" s="193">
        <f t="shared" si="8"/>
        <v>684.12890222711826</v>
      </c>
      <c r="O29" s="192">
        <v>0</v>
      </c>
      <c r="P29" s="192">
        <v>0</v>
      </c>
      <c r="Q29" s="192">
        <v>0</v>
      </c>
      <c r="R29" s="193">
        <f t="shared" si="9"/>
        <v>684.12890222711826</v>
      </c>
    </row>
    <row r="30" spans="1:18" x14ac:dyDescent="0.2">
      <c r="A30" s="149">
        <v>11</v>
      </c>
      <c r="B30" s="184">
        <f t="shared" si="4"/>
        <v>44501</v>
      </c>
      <c r="C30" s="185">
        <v>44533</v>
      </c>
      <c r="D30" s="185">
        <v>44557</v>
      </c>
      <c r="E30" s="54" t="s">
        <v>21</v>
      </c>
      <c r="F30" s="149">
        <v>9</v>
      </c>
      <c r="G30" s="187">
        <v>2263</v>
      </c>
      <c r="H30" s="188">
        <f t="shared" si="5"/>
        <v>1.1251790663222052</v>
      </c>
      <c r="I30" s="188">
        <f t="shared" si="1"/>
        <v>1.3376212393608571</v>
      </c>
      <c r="J30" s="189">
        <f t="shared" si="2"/>
        <v>3027.0368646736197</v>
      </c>
      <c r="K30" s="196">
        <f t="shared" si="6"/>
        <v>2546.2802270871503</v>
      </c>
      <c r="L30" s="195">
        <f t="shared" si="3"/>
        <v>480.75663758646942</v>
      </c>
      <c r="M30" s="192">
        <f t="shared" si="7"/>
        <v>14.979419326745646</v>
      </c>
      <c r="N30" s="193">
        <f t="shared" si="8"/>
        <v>495.73605691321507</v>
      </c>
      <c r="O30" s="192">
        <v>0</v>
      </c>
      <c r="P30" s="192">
        <v>0</v>
      </c>
      <c r="Q30" s="192">
        <v>0</v>
      </c>
      <c r="R30" s="193">
        <f t="shared" si="9"/>
        <v>495.73605691321507</v>
      </c>
    </row>
    <row r="31" spans="1:18" x14ac:dyDescent="0.2">
      <c r="A31" s="149">
        <v>12</v>
      </c>
      <c r="B31" s="184">
        <f t="shared" si="4"/>
        <v>44531</v>
      </c>
      <c r="C31" s="197">
        <v>44566</v>
      </c>
      <c r="D31" s="198">
        <v>44585</v>
      </c>
      <c r="E31" s="54" t="s">
        <v>21</v>
      </c>
      <c r="F31" s="149">
        <v>9</v>
      </c>
      <c r="G31" s="187">
        <v>2379</v>
      </c>
      <c r="H31" s="199">
        <f t="shared" si="5"/>
        <v>1.1251790663222052</v>
      </c>
      <c r="I31" s="199">
        <f t="shared" si="1"/>
        <v>1.3376212393608571</v>
      </c>
      <c r="J31" s="200">
        <f t="shared" si="2"/>
        <v>3182.200928439479</v>
      </c>
      <c r="K31" s="201">
        <f t="shared" si="6"/>
        <v>2676.8009987805262</v>
      </c>
      <c r="L31" s="202">
        <f t="shared" si="3"/>
        <v>505.39992965895271</v>
      </c>
      <c r="M31" s="192">
        <f t="shared" si="7"/>
        <v>15.747255226835126</v>
      </c>
      <c r="N31" s="193">
        <f t="shared" si="8"/>
        <v>521.14718488578785</v>
      </c>
      <c r="O31" s="192">
        <v>0</v>
      </c>
      <c r="P31" s="192">
        <v>0</v>
      </c>
      <c r="Q31" s="192">
        <v>0</v>
      </c>
      <c r="R31" s="193">
        <f t="shared" si="9"/>
        <v>521.14718488578785</v>
      </c>
    </row>
    <row r="32" spans="1:18" x14ac:dyDescent="0.2">
      <c r="A32" s="112">
        <v>1</v>
      </c>
      <c r="B32" s="203">
        <f t="shared" si="4"/>
        <v>44197</v>
      </c>
      <c r="C32" s="204">
        <f t="shared" ref="C32:D43" si="10">+C20</f>
        <v>44230</v>
      </c>
      <c r="D32" s="204">
        <f t="shared" si="10"/>
        <v>44251</v>
      </c>
      <c r="E32" s="205" t="s">
        <v>22</v>
      </c>
      <c r="F32" s="206">
        <v>9</v>
      </c>
      <c r="G32" s="187">
        <v>2771</v>
      </c>
      <c r="H32" s="188">
        <f t="shared" si="5"/>
        <v>1.1251790663222052</v>
      </c>
      <c r="I32" s="188">
        <f t="shared" si="1"/>
        <v>1.3376212393608571</v>
      </c>
      <c r="J32" s="189">
        <f t="shared" si="2"/>
        <v>3706.5484542689351</v>
      </c>
      <c r="K32" s="190">
        <f t="shared" si="6"/>
        <v>3117.8711927788308</v>
      </c>
      <c r="L32" s="191">
        <f t="shared" si="3"/>
        <v>588.67726149010423</v>
      </c>
      <c r="M32" s="192">
        <f t="shared" si="7"/>
        <v>18.342011027137509</v>
      </c>
      <c r="N32" s="193">
        <f t="shared" si="8"/>
        <v>607.01927251724169</v>
      </c>
      <c r="O32" s="192">
        <v>0</v>
      </c>
      <c r="P32" s="192">
        <v>0</v>
      </c>
      <c r="Q32" s="192">
        <v>0</v>
      </c>
      <c r="R32" s="193">
        <f t="shared" si="9"/>
        <v>607.01927251724169</v>
      </c>
    </row>
    <row r="33" spans="1:18" x14ac:dyDescent="0.2">
      <c r="A33" s="149">
        <v>2</v>
      </c>
      <c r="B33" s="184">
        <f t="shared" si="4"/>
        <v>44228</v>
      </c>
      <c r="C33" s="207">
        <f t="shared" si="10"/>
        <v>44258</v>
      </c>
      <c r="D33" s="207">
        <f t="shared" si="10"/>
        <v>44279</v>
      </c>
      <c r="E33" s="194" t="s">
        <v>22</v>
      </c>
      <c r="F33" s="149">
        <v>9</v>
      </c>
      <c r="G33" s="187">
        <v>3136</v>
      </c>
      <c r="H33" s="188">
        <f t="shared" si="5"/>
        <v>1.1251790663222052</v>
      </c>
      <c r="I33" s="188">
        <f t="shared" si="1"/>
        <v>1.3376212393608571</v>
      </c>
      <c r="J33" s="189">
        <f t="shared" si="2"/>
        <v>4194.780206635648</v>
      </c>
      <c r="K33" s="190">
        <f t="shared" si="6"/>
        <v>3528.5615519864355</v>
      </c>
      <c r="L33" s="191">
        <f t="shared" si="3"/>
        <v>666.21865464921257</v>
      </c>
      <c r="M33" s="192">
        <f t="shared" si="7"/>
        <v>20.758046402419065</v>
      </c>
      <c r="N33" s="193">
        <f t="shared" si="8"/>
        <v>686.97670105163161</v>
      </c>
      <c r="O33" s="192">
        <v>0</v>
      </c>
      <c r="P33" s="192">
        <v>0</v>
      </c>
      <c r="Q33" s="192">
        <v>0</v>
      </c>
      <c r="R33" s="193">
        <f t="shared" si="9"/>
        <v>686.97670105163161</v>
      </c>
    </row>
    <row r="34" spans="1:18" x14ac:dyDescent="0.2">
      <c r="A34" s="149">
        <v>3</v>
      </c>
      <c r="B34" s="184">
        <f t="shared" si="4"/>
        <v>44256</v>
      </c>
      <c r="C34" s="207">
        <f t="shared" si="10"/>
        <v>44291</v>
      </c>
      <c r="D34" s="207">
        <f t="shared" si="10"/>
        <v>44312</v>
      </c>
      <c r="E34" s="194" t="s">
        <v>22</v>
      </c>
      <c r="F34" s="149">
        <v>9</v>
      </c>
      <c r="G34" s="187">
        <v>2339</v>
      </c>
      <c r="H34" s="188">
        <f t="shared" si="5"/>
        <v>1.1251790663222052</v>
      </c>
      <c r="I34" s="188">
        <f t="shared" si="1"/>
        <v>1.3376212393608571</v>
      </c>
      <c r="J34" s="189">
        <f t="shared" si="2"/>
        <v>3128.6960788650449</v>
      </c>
      <c r="K34" s="190">
        <f t="shared" ref="K34:K93" si="11">+$G34*H34</f>
        <v>2631.7938361276379</v>
      </c>
      <c r="L34" s="191">
        <f t="shared" si="3"/>
        <v>496.90224273740705</v>
      </c>
      <c r="M34" s="192">
        <f t="shared" si="7"/>
        <v>15.482484226804271</v>
      </c>
      <c r="N34" s="193">
        <f t="shared" si="8"/>
        <v>512.38472696421127</v>
      </c>
      <c r="O34" s="192">
        <v>0</v>
      </c>
      <c r="P34" s="192">
        <v>0</v>
      </c>
      <c r="Q34" s="192">
        <v>0</v>
      </c>
      <c r="R34" s="193">
        <f t="shared" si="9"/>
        <v>512.38472696421127</v>
      </c>
    </row>
    <row r="35" spans="1:18" x14ac:dyDescent="0.2">
      <c r="A35" s="112">
        <v>4</v>
      </c>
      <c r="B35" s="184">
        <f t="shared" si="4"/>
        <v>44287</v>
      </c>
      <c r="C35" s="207">
        <f t="shared" si="10"/>
        <v>44321</v>
      </c>
      <c r="D35" s="207">
        <f t="shared" si="10"/>
        <v>44340</v>
      </c>
      <c r="E35" s="194" t="s">
        <v>22</v>
      </c>
      <c r="F35" s="149">
        <v>9</v>
      </c>
      <c r="G35" s="187">
        <v>2394</v>
      </c>
      <c r="H35" s="188">
        <f t="shared" si="5"/>
        <v>1.1251790663222052</v>
      </c>
      <c r="I35" s="188">
        <f t="shared" si="1"/>
        <v>1.3376212393608571</v>
      </c>
      <c r="J35" s="189">
        <f t="shared" si="2"/>
        <v>3202.2652470298917</v>
      </c>
      <c r="K35" s="190">
        <f t="shared" si="11"/>
        <v>2693.6786847753592</v>
      </c>
      <c r="L35" s="191">
        <f t="shared" ref="L35:L57" si="12">+J35-K35</f>
        <v>508.58656225453251</v>
      </c>
      <c r="M35" s="192">
        <f t="shared" si="7"/>
        <v>15.846544351846697</v>
      </c>
      <c r="N35" s="193">
        <f t="shared" si="8"/>
        <v>524.43310660637917</v>
      </c>
      <c r="O35" s="192">
        <v>0</v>
      </c>
      <c r="P35" s="192">
        <v>0</v>
      </c>
      <c r="Q35" s="192">
        <v>0</v>
      </c>
      <c r="R35" s="193">
        <f t="shared" si="9"/>
        <v>524.43310660637917</v>
      </c>
    </row>
    <row r="36" spans="1:18" x14ac:dyDescent="0.2">
      <c r="A36" s="149">
        <v>5</v>
      </c>
      <c r="B36" s="184">
        <f t="shared" si="4"/>
        <v>44317</v>
      </c>
      <c r="C36" s="207">
        <f t="shared" si="10"/>
        <v>44350</v>
      </c>
      <c r="D36" s="207">
        <f t="shared" si="10"/>
        <v>44371</v>
      </c>
      <c r="E36" s="54" t="s">
        <v>22</v>
      </c>
      <c r="F36" s="149">
        <v>9</v>
      </c>
      <c r="G36" s="187">
        <v>2807</v>
      </c>
      <c r="H36" s="188">
        <f t="shared" si="5"/>
        <v>1.1251790663222052</v>
      </c>
      <c r="I36" s="188">
        <f t="shared" si="1"/>
        <v>1.3376212393608571</v>
      </c>
      <c r="J36" s="189">
        <f t="shared" si="2"/>
        <v>3754.7028188859258</v>
      </c>
      <c r="K36" s="190">
        <f t="shared" si="11"/>
        <v>3158.3776391664301</v>
      </c>
      <c r="L36" s="191">
        <f t="shared" si="12"/>
        <v>596.32517971949574</v>
      </c>
      <c r="M36" s="192">
        <f t="shared" si="7"/>
        <v>18.58030492716528</v>
      </c>
      <c r="N36" s="193">
        <f t="shared" si="8"/>
        <v>614.90548464666097</v>
      </c>
      <c r="O36" s="192">
        <v>0</v>
      </c>
      <c r="P36" s="192">
        <v>0</v>
      </c>
      <c r="Q36" s="192">
        <v>0</v>
      </c>
      <c r="R36" s="193">
        <f t="shared" si="9"/>
        <v>614.90548464666097</v>
      </c>
    </row>
    <row r="37" spans="1:18" x14ac:dyDescent="0.2">
      <c r="A37" s="149">
        <v>6</v>
      </c>
      <c r="B37" s="184">
        <f t="shared" si="4"/>
        <v>44348</v>
      </c>
      <c r="C37" s="207">
        <f t="shared" si="10"/>
        <v>44383</v>
      </c>
      <c r="D37" s="207">
        <f t="shared" si="10"/>
        <v>44401</v>
      </c>
      <c r="E37" s="54" t="s">
        <v>22</v>
      </c>
      <c r="F37" s="149">
        <v>9</v>
      </c>
      <c r="G37" s="187">
        <v>3345</v>
      </c>
      <c r="H37" s="188">
        <f t="shared" si="5"/>
        <v>1.1251790663222052</v>
      </c>
      <c r="I37" s="188">
        <f t="shared" si="1"/>
        <v>1.3376212393608571</v>
      </c>
      <c r="J37" s="189">
        <f t="shared" si="2"/>
        <v>4474.3430456620672</v>
      </c>
      <c r="K37" s="190">
        <f t="shared" si="11"/>
        <v>3763.7239768477766</v>
      </c>
      <c r="L37" s="195">
        <f t="shared" si="12"/>
        <v>710.61906881429059</v>
      </c>
      <c r="M37" s="192">
        <f t="shared" si="7"/>
        <v>22.141474877580286</v>
      </c>
      <c r="N37" s="193">
        <f t="shared" si="8"/>
        <v>732.76054369187091</v>
      </c>
      <c r="O37" s="192">
        <v>0</v>
      </c>
      <c r="P37" s="192">
        <v>0</v>
      </c>
      <c r="Q37" s="192">
        <v>0</v>
      </c>
      <c r="R37" s="193">
        <f t="shared" si="9"/>
        <v>732.76054369187091</v>
      </c>
    </row>
    <row r="38" spans="1:18" x14ac:dyDescent="0.2">
      <c r="A38" s="112">
        <v>7</v>
      </c>
      <c r="B38" s="184">
        <f t="shared" si="4"/>
        <v>44378</v>
      </c>
      <c r="C38" s="207">
        <f t="shared" si="10"/>
        <v>44412</v>
      </c>
      <c r="D38" s="207">
        <f t="shared" si="10"/>
        <v>44432</v>
      </c>
      <c r="E38" s="54" t="s">
        <v>22</v>
      </c>
      <c r="F38" s="149">
        <v>9</v>
      </c>
      <c r="G38" s="187">
        <v>3525</v>
      </c>
      <c r="H38" s="188">
        <f t="shared" si="5"/>
        <v>1.1251790663222052</v>
      </c>
      <c r="I38" s="188">
        <f t="shared" si="1"/>
        <v>1.3376212393608571</v>
      </c>
      <c r="J38" s="189">
        <f t="shared" si="2"/>
        <v>4715.1148687470213</v>
      </c>
      <c r="K38" s="196">
        <f t="shared" si="11"/>
        <v>3966.2562087857732</v>
      </c>
      <c r="L38" s="195">
        <f t="shared" si="12"/>
        <v>748.85865996124812</v>
      </c>
      <c r="M38" s="192">
        <f t="shared" si="7"/>
        <v>23.332944377719134</v>
      </c>
      <c r="N38" s="193">
        <f t="shared" si="8"/>
        <v>772.1916043389673</v>
      </c>
      <c r="O38" s="192">
        <v>0</v>
      </c>
      <c r="P38" s="192">
        <v>0</v>
      </c>
      <c r="Q38" s="192">
        <v>0</v>
      </c>
      <c r="R38" s="193">
        <f t="shared" si="9"/>
        <v>772.1916043389673</v>
      </c>
    </row>
    <row r="39" spans="1:18" x14ac:dyDescent="0.2">
      <c r="A39" s="149">
        <v>8</v>
      </c>
      <c r="B39" s="184">
        <f t="shared" si="4"/>
        <v>44409</v>
      </c>
      <c r="C39" s="207">
        <f t="shared" si="10"/>
        <v>44442</v>
      </c>
      <c r="D39" s="207">
        <f t="shared" si="10"/>
        <v>44463</v>
      </c>
      <c r="E39" s="54" t="s">
        <v>22</v>
      </c>
      <c r="F39" s="149">
        <v>9</v>
      </c>
      <c r="G39" s="187">
        <v>3514</v>
      </c>
      <c r="H39" s="188">
        <f t="shared" si="5"/>
        <v>1.1251790663222052</v>
      </c>
      <c r="I39" s="188">
        <f t="shared" si="1"/>
        <v>1.3376212393608571</v>
      </c>
      <c r="J39" s="189">
        <f t="shared" si="2"/>
        <v>4700.4010351140514</v>
      </c>
      <c r="K39" s="196">
        <f t="shared" si="11"/>
        <v>3953.8792390562289</v>
      </c>
      <c r="L39" s="195">
        <f t="shared" si="12"/>
        <v>746.52179605782248</v>
      </c>
      <c r="M39" s="192">
        <f t="shared" si="7"/>
        <v>23.260132352710645</v>
      </c>
      <c r="N39" s="193">
        <f t="shared" si="8"/>
        <v>769.78192841053317</v>
      </c>
      <c r="O39" s="192">
        <v>0</v>
      </c>
      <c r="P39" s="192">
        <v>0</v>
      </c>
      <c r="Q39" s="192">
        <v>0</v>
      </c>
      <c r="R39" s="193">
        <f t="shared" si="9"/>
        <v>769.78192841053317</v>
      </c>
    </row>
    <row r="40" spans="1:18" x14ac:dyDescent="0.2">
      <c r="A40" s="149">
        <v>9</v>
      </c>
      <c r="B40" s="184">
        <f t="shared" si="4"/>
        <v>44440</v>
      </c>
      <c r="C40" s="207">
        <f t="shared" si="10"/>
        <v>44474</v>
      </c>
      <c r="D40" s="207">
        <f t="shared" si="10"/>
        <v>44494</v>
      </c>
      <c r="E40" s="54" t="s">
        <v>22</v>
      </c>
      <c r="F40" s="149">
        <v>9</v>
      </c>
      <c r="G40" s="187">
        <v>3486</v>
      </c>
      <c r="H40" s="188">
        <f t="shared" si="5"/>
        <v>1.1251790663222052</v>
      </c>
      <c r="I40" s="188">
        <f t="shared" si="1"/>
        <v>1.3376212393608571</v>
      </c>
      <c r="J40" s="189">
        <f t="shared" si="2"/>
        <v>4662.9476404119478</v>
      </c>
      <c r="K40" s="196">
        <f t="shared" si="11"/>
        <v>3922.3742251992076</v>
      </c>
      <c r="L40" s="195">
        <f t="shared" si="12"/>
        <v>740.5734152127402</v>
      </c>
      <c r="M40" s="192">
        <f t="shared" si="7"/>
        <v>23.074792652689052</v>
      </c>
      <c r="N40" s="193">
        <f t="shared" si="8"/>
        <v>763.6482078654293</v>
      </c>
      <c r="O40" s="192">
        <v>0</v>
      </c>
      <c r="P40" s="192">
        <v>0</v>
      </c>
      <c r="Q40" s="192">
        <v>0</v>
      </c>
      <c r="R40" s="193">
        <f t="shared" si="9"/>
        <v>763.6482078654293</v>
      </c>
    </row>
    <row r="41" spans="1:18" x14ac:dyDescent="0.2">
      <c r="A41" s="112">
        <v>10</v>
      </c>
      <c r="B41" s="184">
        <f t="shared" si="4"/>
        <v>44470</v>
      </c>
      <c r="C41" s="207">
        <f t="shared" si="10"/>
        <v>44503</v>
      </c>
      <c r="D41" s="207">
        <f t="shared" si="10"/>
        <v>44524</v>
      </c>
      <c r="E41" s="54" t="s">
        <v>22</v>
      </c>
      <c r="F41" s="149">
        <v>9</v>
      </c>
      <c r="G41" s="187">
        <v>2777</v>
      </c>
      <c r="H41" s="188">
        <f t="shared" si="5"/>
        <v>1.1251790663222052</v>
      </c>
      <c r="I41" s="188">
        <f t="shared" si="1"/>
        <v>1.3376212393608571</v>
      </c>
      <c r="J41" s="189">
        <f t="shared" si="2"/>
        <v>3714.5741817051003</v>
      </c>
      <c r="K41" s="196">
        <f t="shared" si="11"/>
        <v>3124.6222671767637</v>
      </c>
      <c r="L41" s="195">
        <f t="shared" si="12"/>
        <v>589.9519145283366</v>
      </c>
      <c r="M41" s="192">
        <f t="shared" si="7"/>
        <v>18.38172667714214</v>
      </c>
      <c r="N41" s="193">
        <f t="shared" si="8"/>
        <v>608.33364120547878</v>
      </c>
      <c r="O41" s="192">
        <v>0</v>
      </c>
      <c r="P41" s="192">
        <v>0</v>
      </c>
      <c r="Q41" s="192">
        <v>0</v>
      </c>
      <c r="R41" s="193">
        <f t="shared" si="9"/>
        <v>608.33364120547878</v>
      </c>
    </row>
    <row r="42" spans="1:18" x14ac:dyDescent="0.2">
      <c r="A42" s="149">
        <v>11</v>
      </c>
      <c r="B42" s="184">
        <f t="shared" si="4"/>
        <v>44501</v>
      </c>
      <c r="C42" s="207">
        <f t="shared" si="10"/>
        <v>44533</v>
      </c>
      <c r="D42" s="207">
        <f t="shared" si="10"/>
        <v>44557</v>
      </c>
      <c r="E42" s="54" t="s">
        <v>22</v>
      </c>
      <c r="F42" s="149">
        <v>9</v>
      </c>
      <c r="G42" s="187">
        <v>2284</v>
      </c>
      <c r="H42" s="188">
        <f t="shared" si="5"/>
        <v>1.1251790663222052</v>
      </c>
      <c r="I42" s="188">
        <f t="shared" si="1"/>
        <v>1.3376212393608571</v>
      </c>
      <c r="J42" s="189">
        <f t="shared" si="2"/>
        <v>3055.1269107001976</v>
      </c>
      <c r="K42" s="196">
        <f t="shared" si="11"/>
        <v>2569.9089874799165</v>
      </c>
      <c r="L42" s="195">
        <f t="shared" si="12"/>
        <v>485.21792322028114</v>
      </c>
      <c r="M42" s="192">
        <f t="shared" si="7"/>
        <v>15.118424101761844</v>
      </c>
      <c r="N42" s="193">
        <f t="shared" si="8"/>
        <v>500.33634732204297</v>
      </c>
      <c r="O42" s="192">
        <v>0</v>
      </c>
      <c r="P42" s="192">
        <v>0</v>
      </c>
      <c r="Q42" s="192">
        <v>0</v>
      </c>
      <c r="R42" s="193">
        <f t="shared" si="9"/>
        <v>500.33634732204297</v>
      </c>
    </row>
    <row r="43" spans="1:18" x14ac:dyDescent="0.2">
      <c r="A43" s="149">
        <v>12</v>
      </c>
      <c r="B43" s="184">
        <f t="shared" si="4"/>
        <v>44531</v>
      </c>
      <c r="C43" s="207">
        <f t="shared" si="10"/>
        <v>44566</v>
      </c>
      <c r="D43" s="207">
        <f t="shared" si="10"/>
        <v>44585</v>
      </c>
      <c r="E43" s="54" t="s">
        <v>22</v>
      </c>
      <c r="F43" s="149">
        <v>9</v>
      </c>
      <c r="G43" s="187">
        <v>2425</v>
      </c>
      <c r="H43" s="199">
        <f t="shared" si="5"/>
        <v>1.1251790663222052</v>
      </c>
      <c r="I43" s="199">
        <f t="shared" si="1"/>
        <v>1.3376212393608571</v>
      </c>
      <c r="J43" s="200">
        <f t="shared" si="2"/>
        <v>3243.7315054500782</v>
      </c>
      <c r="K43" s="201">
        <f t="shared" si="11"/>
        <v>2728.5592358313475</v>
      </c>
      <c r="L43" s="202">
        <f t="shared" si="12"/>
        <v>515.17226961873075</v>
      </c>
      <c r="M43" s="192">
        <f t="shared" si="7"/>
        <v>16.051741876870611</v>
      </c>
      <c r="N43" s="193">
        <f t="shared" si="8"/>
        <v>531.22401149560142</v>
      </c>
      <c r="O43" s="192">
        <v>0</v>
      </c>
      <c r="P43" s="192">
        <v>0</v>
      </c>
      <c r="Q43" s="192">
        <v>0</v>
      </c>
      <c r="R43" s="193">
        <f t="shared" si="9"/>
        <v>531.22401149560142</v>
      </c>
    </row>
    <row r="44" spans="1:18" x14ac:dyDescent="0.2">
      <c r="A44" s="112">
        <v>1</v>
      </c>
      <c r="B44" s="203">
        <f t="shared" ref="B44:B55" si="13">DATE($R$1,A44,1)</f>
        <v>44197</v>
      </c>
      <c r="C44" s="204">
        <f t="shared" ref="C44:D55" si="14">+C32</f>
        <v>44230</v>
      </c>
      <c r="D44" s="204">
        <f t="shared" si="14"/>
        <v>44251</v>
      </c>
      <c r="E44" s="205" t="s">
        <v>83</v>
      </c>
      <c r="F44" s="206">
        <v>9</v>
      </c>
      <c r="G44" s="187">
        <v>146</v>
      </c>
      <c r="H44" s="188">
        <f t="shared" si="5"/>
        <v>1.1251790663222052</v>
      </c>
      <c r="I44" s="188">
        <f t="shared" si="1"/>
        <v>1.3376212393608571</v>
      </c>
      <c r="J44" s="192">
        <f t="shared" ref="J44:J55" si="15">+$G44*I44</f>
        <v>195.29270094668513</v>
      </c>
      <c r="K44" s="196">
        <f t="shared" ref="K44:K55" si="16">+$G44*H44</f>
        <v>164.27614368304197</v>
      </c>
      <c r="L44" s="195">
        <f t="shared" ref="L44:L55" si="17">+J44-K44</f>
        <v>31.016557263643165</v>
      </c>
      <c r="M44" s="192">
        <f t="shared" si="7"/>
        <v>0.96641415011262233</v>
      </c>
      <c r="N44" s="193">
        <f t="shared" si="8"/>
        <v>31.982971413755788</v>
      </c>
      <c r="O44" s="192">
        <v>0</v>
      </c>
      <c r="P44" s="192">
        <v>0</v>
      </c>
      <c r="Q44" s="192">
        <v>0</v>
      </c>
      <c r="R44" s="193">
        <f t="shared" si="9"/>
        <v>31.982971413755788</v>
      </c>
    </row>
    <row r="45" spans="1:18" x14ac:dyDescent="0.2">
      <c r="A45" s="149">
        <v>2</v>
      </c>
      <c r="B45" s="184">
        <f t="shared" si="13"/>
        <v>44228</v>
      </c>
      <c r="C45" s="207">
        <f t="shared" si="14"/>
        <v>44258</v>
      </c>
      <c r="D45" s="207">
        <f t="shared" si="14"/>
        <v>44279</v>
      </c>
      <c r="E45" s="194" t="s">
        <v>83</v>
      </c>
      <c r="F45" s="149">
        <v>9</v>
      </c>
      <c r="G45" s="187">
        <v>212</v>
      </c>
      <c r="H45" s="188">
        <f t="shared" si="5"/>
        <v>1.1251790663222052</v>
      </c>
      <c r="I45" s="188">
        <f t="shared" si="1"/>
        <v>1.3376212393608571</v>
      </c>
      <c r="J45" s="192">
        <f t="shared" si="15"/>
        <v>283.57570274450171</v>
      </c>
      <c r="K45" s="196">
        <f t="shared" si="16"/>
        <v>238.53796206030751</v>
      </c>
      <c r="L45" s="195">
        <f t="shared" si="17"/>
        <v>45.037740684194205</v>
      </c>
      <c r="M45" s="192">
        <f t="shared" si="7"/>
        <v>1.4032863001635338</v>
      </c>
      <c r="N45" s="193">
        <f t="shared" si="8"/>
        <v>46.441026984357741</v>
      </c>
      <c r="O45" s="192">
        <v>0</v>
      </c>
      <c r="P45" s="192">
        <v>0</v>
      </c>
      <c r="Q45" s="192">
        <v>0</v>
      </c>
      <c r="R45" s="193">
        <f t="shared" si="9"/>
        <v>46.441026984357741</v>
      </c>
    </row>
    <row r="46" spans="1:18" x14ac:dyDescent="0.2">
      <c r="A46" s="149">
        <v>3</v>
      </c>
      <c r="B46" s="184">
        <f t="shared" si="13"/>
        <v>44256</v>
      </c>
      <c r="C46" s="207">
        <f t="shared" si="14"/>
        <v>44291</v>
      </c>
      <c r="D46" s="207">
        <f t="shared" si="14"/>
        <v>44312</v>
      </c>
      <c r="E46" s="194" t="s">
        <v>83</v>
      </c>
      <c r="F46" s="149">
        <v>9</v>
      </c>
      <c r="G46" s="187">
        <v>125</v>
      </c>
      <c r="H46" s="188">
        <f t="shared" si="5"/>
        <v>1.1251790663222052</v>
      </c>
      <c r="I46" s="188">
        <f t="shared" si="1"/>
        <v>1.3376212393608571</v>
      </c>
      <c r="J46" s="192">
        <f t="shared" si="15"/>
        <v>167.20265492010714</v>
      </c>
      <c r="K46" s="196">
        <f t="shared" si="16"/>
        <v>140.64738329027566</v>
      </c>
      <c r="L46" s="195">
        <f t="shared" si="17"/>
        <v>26.555271629831481</v>
      </c>
      <c r="M46" s="192">
        <f t="shared" si="7"/>
        <v>0.82740937509642321</v>
      </c>
      <c r="N46" s="193">
        <f t="shared" si="8"/>
        <v>27.382681004927903</v>
      </c>
      <c r="O46" s="192">
        <v>0</v>
      </c>
      <c r="P46" s="192">
        <v>0</v>
      </c>
      <c r="Q46" s="192">
        <v>0</v>
      </c>
      <c r="R46" s="193">
        <f t="shared" si="9"/>
        <v>27.382681004927903</v>
      </c>
    </row>
    <row r="47" spans="1:18" x14ac:dyDescent="0.2">
      <c r="A47" s="112">
        <v>4</v>
      </c>
      <c r="B47" s="184">
        <f t="shared" si="13"/>
        <v>44287</v>
      </c>
      <c r="C47" s="207">
        <f t="shared" si="14"/>
        <v>44321</v>
      </c>
      <c r="D47" s="207">
        <f t="shared" si="14"/>
        <v>44340</v>
      </c>
      <c r="E47" s="194" t="s">
        <v>83</v>
      </c>
      <c r="F47" s="149">
        <v>9</v>
      </c>
      <c r="G47" s="187">
        <v>92</v>
      </c>
      <c r="H47" s="188">
        <f t="shared" si="5"/>
        <v>1.1251790663222052</v>
      </c>
      <c r="I47" s="188">
        <f t="shared" si="1"/>
        <v>1.3376212393608571</v>
      </c>
      <c r="J47" s="192">
        <f t="shared" si="15"/>
        <v>123.06115402119885</v>
      </c>
      <c r="K47" s="196">
        <f t="shared" si="16"/>
        <v>103.51647410164288</v>
      </c>
      <c r="L47" s="195">
        <f t="shared" si="17"/>
        <v>19.544679919555961</v>
      </c>
      <c r="M47" s="192">
        <f t="shared" si="7"/>
        <v>0.6089733000709675</v>
      </c>
      <c r="N47" s="193">
        <f t="shared" si="8"/>
        <v>20.153653219626928</v>
      </c>
      <c r="O47" s="192">
        <v>0</v>
      </c>
      <c r="P47" s="192">
        <v>0</v>
      </c>
      <c r="Q47" s="192">
        <v>0</v>
      </c>
      <c r="R47" s="193">
        <f t="shared" si="9"/>
        <v>20.153653219626928</v>
      </c>
    </row>
    <row r="48" spans="1:18" x14ac:dyDescent="0.2">
      <c r="A48" s="149">
        <v>5</v>
      </c>
      <c r="B48" s="184">
        <f t="shared" si="13"/>
        <v>44317</v>
      </c>
      <c r="C48" s="207">
        <f t="shared" si="14"/>
        <v>44350</v>
      </c>
      <c r="D48" s="207">
        <f t="shared" si="14"/>
        <v>44371</v>
      </c>
      <c r="E48" s="194" t="s">
        <v>83</v>
      </c>
      <c r="F48" s="149">
        <v>9</v>
      </c>
      <c r="G48" s="187">
        <v>102</v>
      </c>
      <c r="H48" s="188">
        <f t="shared" si="5"/>
        <v>1.1251790663222052</v>
      </c>
      <c r="I48" s="188">
        <f t="shared" si="1"/>
        <v>1.3376212393608571</v>
      </c>
      <c r="J48" s="192">
        <f t="shared" si="15"/>
        <v>136.43736641480743</v>
      </c>
      <c r="K48" s="196">
        <f t="shared" si="16"/>
        <v>114.76826476486494</v>
      </c>
      <c r="L48" s="195">
        <f t="shared" si="17"/>
        <v>21.66910164994249</v>
      </c>
      <c r="M48" s="192">
        <f t="shared" si="7"/>
        <v>0.67516605007868136</v>
      </c>
      <c r="N48" s="193">
        <f t="shared" si="8"/>
        <v>22.34426770002117</v>
      </c>
      <c r="O48" s="192">
        <v>0</v>
      </c>
      <c r="P48" s="192">
        <v>0</v>
      </c>
      <c r="Q48" s="192">
        <v>0</v>
      </c>
      <c r="R48" s="193">
        <f t="shared" si="9"/>
        <v>22.34426770002117</v>
      </c>
    </row>
    <row r="49" spans="1:18" x14ac:dyDescent="0.2">
      <c r="A49" s="149">
        <v>6</v>
      </c>
      <c r="B49" s="184">
        <f t="shared" si="13"/>
        <v>44348</v>
      </c>
      <c r="C49" s="207">
        <f t="shared" si="14"/>
        <v>44383</v>
      </c>
      <c r="D49" s="207">
        <f t="shared" si="14"/>
        <v>44401</v>
      </c>
      <c r="E49" s="194" t="s">
        <v>83</v>
      </c>
      <c r="F49" s="149">
        <v>9</v>
      </c>
      <c r="G49" s="187">
        <v>124</v>
      </c>
      <c r="H49" s="188">
        <f t="shared" si="5"/>
        <v>1.1251790663222052</v>
      </c>
      <c r="I49" s="188">
        <f t="shared" si="1"/>
        <v>1.3376212393608571</v>
      </c>
      <c r="J49" s="192">
        <f t="shared" si="15"/>
        <v>165.86503368074628</v>
      </c>
      <c r="K49" s="196">
        <f t="shared" si="16"/>
        <v>139.52220422395345</v>
      </c>
      <c r="L49" s="195">
        <f t="shared" si="17"/>
        <v>26.342829456792828</v>
      </c>
      <c r="M49" s="192">
        <f t="shared" si="7"/>
        <v>0.82079010009565179</v>
      </c>
      <c r="N49" s="193">
        <f t="shared" si="8"/>
        <v>27.163619556888481</v>
      </c>
      <c r="O49" s="192">
        <v>0</v>
      </c>
      <c r="P49" s="192">
        <v>0</v>
      </c>
      <c r="Q49" s="192">
        <v>0</v>
      </c>
      <c r="R49" s="193">
        <f t="shared" si="9"/>
        <v>27.163619556888481</v>
      </c>
    </row>
    <row r="50" spans="1:18" x14ac:dyDescent="0.2">
      <c r="A50" s="112">
        <v>7</v>
      </c>
      <c r="B50" s="184">
        <f t="shared" si="13"/>
        <v>44378</v>
      </c>
      <c r="C50" s="207">
        <f t="shared" si="14"/>
        <v>44412</v>
      </c>
      <c r="D50" s="207">
        <f t="shared" si="14"/>
        <v>44432</v>
      </c>
      <c r="E50" s="194" t="s">
        <v>83</v>
      </c>
      <c r="F50" s="149">
        <v>9</v>
      </c>
      <c r="G50" s="187">
        <v>138</v>
      </c>
      <c r="H50" s="188">
        <f t="shared" si="5"/>
        <v>1.1251790663222052</v>
      </c>
      <c r="I50" s="188">
        <f t="shared" si="1"/>
        <v>1.3376212393608571</v>
      </c>
      <c r="J50" s="192">
        <f t="shared" si="15"/>
        <v>184.59173103179828</v>
      </c>
      <c r="K50" s="196">
        <f t="shared" si="16"/>
        <v>155.27471115246431</v>
      </c>
      <c r="L50" s="195">
        <f t="shared" si="17"/>
        <v>29.317019879333969</v>
      </c>
      <c r="M50" s="192">
        <f t="shared" si="7"/>
        <v>0.91345995010645131</v>
      </c>
      <c r="N50" s="193">
        <f t="shared" si="8"/>
        <v>30.230479829440419</v>
      </c>
      <c r="O50" s="192">
        <v>0</v>
      </c>
      <c r="P50" s="192">
        <v>0</v>
      </c>
      <c r="Q50" s="192">
        <v>0</v>
      </c>
      <c r="R50" s="193">
        <f t="shared" si="9"/>
        <v>30.230479829440419</v>
      </c>
    </row>
    <row r="51" spans="1:18" x14ac:dyDescent="0.2">
      <c r="A51" s="149">
        <v>8</v>
      </c>
      <c r="B51" s="184">
        <f t="shared" si="13"/>
        <v>44409</v>
      </c>
      <c r="C51" s="207">
        <f t="shared" si="14"/>
        <v>44442</v>
      </c>
      <c r="D51" s="207">
        <f t="shared" si="14"/>
        <v>44463</v>
      </c>
      <c r="E51" s="194" t="s">
        <v>83</v>
      </c>
      <c r="F51" s="149">
        <v>9</v>
      </c>
      <c r="G51" s="187">
        <v>140</v>
      </c>
      <c r="H51" s="188">
        <f t="shared" si="5"/>
        <v>1.1251790663222052</v>
      </c>
      <c r="I51" s="188">
        <f t="shared" si="1"/>
        <v>1.3376212393608571</v>
      </c>
      <c r="J51" s="192">
        <f t="shared" si="15"/>
        <v>187.26697351051999</v>
      </c>
      <c r="K51" s="196">
        <f t="shared" si="16"/>
        <v>157.52506928510874</v>
      </c>
      <c r="L51" s="195">
        <f t="shared" si="17"/>
        <v>29.741904225411247</v>
      </c>
      <c r="M51" s="192">
        <f t="shared" si="7"/>
        <v>0.92669850010799404</v>
      </c>
      <c r="N51" s="193">
        <f t="shared" si="8"/>
        <v>30.668602725519239</v>
      </c>
      <c r="O51" s="192">
        <v>0</v>
      </c>
      <c r="P51" s="192">
        <v>0</v>
      </c>
      <c r="Q51" s="192">
        <v>0</v>
      </c>
      <c r="R51" s="193">
        <f t="shared" si="9"/>
        <v>30.668602725519239</v>
      </c>
    </row>
    <row r="52" spans="1:18" x14ac:dyDescent="0.2">
      <c r="A52" s="149">
        <v>9</v>
      </c>
      <c r="B52" s="184">
        <f t="shared" si="13"/>
        <v>44440</v>
      </c>
      <c r="C52" s="207">
        <f t="shared" si="14"/>
        <v>44474</v>
      </c>
      <c r="D52" s="207">
        <f t="shared" si="14"/>
        <v>44494</v>
      </c>
      <c r="E52" s="194" t="s">
        <v>83</v>
      </c>
      <c r="F52" s="149">
        <v>9</v>
      </c>
      <c r="G52" s="187">
        <v>140</v>
      </c>
      <c r="H52" s="188">
        <f t="shared" si="5"/>
        <v>1.1251790663222052</v>
      </c>
      <c r="I52" s="188">
        <f t="shared" si="1"/>
        <v>1.3376212393608571</v>
      </c>
      <c r="J52" s="192">
        <f t="shared" si="15"/>
        <v>187.26697351051999</v>
      </c>
      <c r="K52" s="196">
        <f t="shared" si="16"/>
        <v>157.52506928510874</v>
      </c>
      <c r="L52" s="195">
        <f t="shared" si="17"/>
        <v>29.741904225411247</v>
      </c>
      <c r="M52" s="192">
        <f t="shared" si="7"/>
        <v>0.92669850010799404</v>
      </c>
      <c r="N52" s="193">
        <f t="shared" si="8"/>
        <v>30.668602725519239</v>
      </c>
      <c r="O52" s="192">
        <v>0</v>
      </c>
      <c r="P52" s="192">
        <v>0</v>
      </c>
      <c r="Q52" s="192">
        <v>0</v>
      </c>
      <c r="R52" s="193">
        <f t="shared" si="9"/>
        <v>30.668602725519239</v>
      </c>
    </row>
    <row r="53" spans="1:18" x14ac:dyDescent="0.2">
      <c r="A53" s="112">
        <v>10</v>
      </c>
      <c r="B53" s="184">
        <f t="shared" si="13"/>
        <v>44470</v>
      </c>
      <c r="C53" s="207">
        <f t="shared" si="14"/>
        <v>44503</v>
      </c>
      <c r="D53" s="207">
        <f t="shared" si="14"/>
        <v>44524</v>
      </c>
      <c r="E53" s="194" t="s">
        <v>83</v>
      </c>
      <c r="F53" s="149">
        <v>9</v>
      </c>
      <c r="G53" s="187">
        <v>106</v>
      </c>
      <c r="H53" s="188">
        <f t="shared" si="5"/>
        <v>1.1251790663222052</v>
      </c>
      <c r="I53" s="188">
        <f t="shared" si="1"/>
        <v>1.3376212393608571</v>
      </c>
      <c r="J53" s="192">
        <f t="shared" si="15"/>
        <v>141.78785137225086</v>
      </c>
      <c r="K53" s="196">
        <f t="shared" si="16"/>
        <v>119.26898103015375</v>
      </c>
      <c r="L53" s="195">
        <f t="shared" si="17"/>
        <v>22.518870342097102</v>
      </c>
      <c r="M53" s="192">
        <f t="shared" si="7"/>
        <v>0.70164315008176692</v>
      </c>
      <c r="N53" s="193">
        <f t="shared" si="8"/>
        <v>23.220513492178871</v>
      </c>
      <c r="O53" s="192">
        <v>0</v>
      </c>
      <c r="P53" s="192">
        <v>0</v>
      </c>
      <c r="Q53" s="192">
        <v>0</v>
      </c>
      <c r="R53" s="193">
        <f t="shared" si="9"/>
        <v>23.220513492178871</v>
      </c>
    </row>
    <row r="54" spans="1:18" x14ac:dyDescent="0.2">
      <c r="A54" s="149">
        <v>11</v>
      </c>
      <c r="B54" s="184">
        <f t="shared" si="13"/>
        <v>44501</v>
      </c>
      <c r="C54" s="207">
        <f t="shared" si="14"/>
        <v>44533</v>
      </c>
      <c r="D54" s="207">
        <f t="shared" si="14"/>
        <v>44557</v>
      </c>
      <c r="E54" s="194" t="s">
        <v>83</v>
      </c>
      <c r="F54" s="149">
        <v>9</v>
      </c>
      <c r="G54" s="187">
        <v>107</v>
      </c>
      <c r="H54" s="188">
        <f t="shared" si="5"/>
        <v>1.1251790663222052</v>
      </c>
      <c r="I54" s="188">
        <f t="shared" si="1"/>
        <v>1.3376212393608571</v>
      </c>
      <c r="J54" s="192">
        <f t="shared" si="15"/>
        <v>143.12547261161171</v>
      </c>
      <c r="K54" s="196">
        <f t="shared" si="16"/>
        <v>120.39416009647596</v>
      </c>
      <c r="L54" s="195">
        <f t="shared" si="17"/>
        <v>22.731312515135755</v>
      </c>
      <c r="M54" s="192">
        <f t="shared" si="7"/>
        <v>0.70826242508253823</v>
      </c>
      <c r="N54" s="193">
        <f t="shared" si="8"/>
        <v>23.439574940218293</v>
      </c>
      <c r="O54" s="192">
        <v>0</v>
      </c>
      <c r="P54" s="192">
        <v>0</v>
      </c>
      <c r="Q54" s="192">
        <v>0</v>
      </c>
      <c r="R54" s="193">
        <f t="shared" si="9"/>
        <v>23.439574940218293</v>
      </c>
    </row>
    <row r="55" spans="1:18" x14ac:dyDescent="0.2">
      <c r="A55" s="149">
        <v>12</v>
      </c>
      <c r="B55" s="184">
        <f t="shared" si="13"/>
        <v>44531</v>
      </c>
      <c r="C55" s="207">
        <f t="shared" si="14"/>
        <v>44566</v>
      </c>
      <c r="D55" s="207">
        <f t="shared" si="14"/>
        <v>44585</v>
      </c>
      <c r="E55" s="194" t="s">
        <v>83</v>
      </c>
      <c r="F55" s="149">
        <v>9</v>
      </c>
      <c r="G55" s="187">
        <v>110</v>
      </c>
      <c r="H55" s="199">
        <f t="shared" si="5"/>
        <v>1.1251790663222052</v>
      </c>
      <c r="I55" s="199">
        <f t="shared" si="1"/>
        <v>1.3376212393608571</v>
      </c>
      <c r="J55" s="200">
        <f t="shared" si="15"/>
        <v>147.13833632969428</v>
      </c>
      <c r="K55" s="201">
        <f t="shared" si="16"/>
        <v>123.76969729544257</v>
      </c>
      <c r="L55" s="202">
        <f t="shared" si="17"/>
        <v>23.368639034251714</v>
      </c>
      <c r="M55" s="192">
        <f t="shared" si="7"/>
        <v>0.72812025008485248</v>
      </c>
      <c r="N55" s="193">
        <f t="shared" si="8"/>
        <v>24.096759284336567</v>
      </c>
      <c r="O55" s="192">
        <v>0</v>
      </c>
      <c r="P55" s="192">
        <v>0</v>
      </c>
      <c r="Q55" s="192">
        <v>0</v>
      </c>
      <c r="R55" s="193">
        <f t="shared" si="9"/>
        <v>24.096759284336567</v>
      </c>
    </row>
    <row r="56" spans="1:18" s="208" customFormat="1" x14ac:dyDescent="0.2">
      <c r="A56" s="112">
        <v>1</v>
      </c>
      <c r="B56" s="203">
        <f t="shared" si="4"/>
        <v>44197</v>
      </c>
      <c r="C56" s="204">
        <f t="shared" ref="C56:D67" si="18">+C32</f>
        <v>44230</v>
      </c>
      <c r="D56" s="204">
        <f t="shared" si="18"/>
        <v>44251</v>
      </c>
      <c r="E56" s="205" t="s">
        <v>14</v>
      </c>
      <c r="F56" s="206">
        <v>9</v>
      </c>
      <c r="G56" s="187">
        <v>767</v>
      </c>
      <c r="H56" s="188">
        <f t="shared" si="5"/>
        <v>1.1251790663222052</v>
      </c>
      <c r="I56" s="188">
        <f t="shared" si="1"/>
        <v>1.3376212393608571</v>
      </c>
      <c r="J56" s="189">
        <f t="shared" si="2"/>
        <v>1025.9554905897774</v>
      </c>
      <c r="K56" s="190">
        <f t="shared" si="11"/>
        <v>863.01234386913143</v>
      </c>
      <c r="L56" s="191">
        <f t="shared" si="12"/>
        <v>162.94314672064593</v>
      </c>
      <c r="M56" s="192">
        <f t="shared" si="7"/>
        <v>5.0769839255916525</v>
      </c>
      <c r="N56" s="193">
        <f t="shared" si="8"/>
        <v>168.02013064623759</v>
      </c>
      <c r="O56" s="192">
        <v>0</v>
      </c>
      <c r="P56" s="192">
        <v>0</v>
      </c>
      <c r="Q56" s="192">
        <v>0</v>
      </c>
      <c r="R56" s="193">
        <f t="shared" si="9"/>
        <v>168.02013064623759</v>
      </c>
    </row>
    <row r="57" spans="1:18" x14ac:dyDescent="0.2">
      <c r="A57" s="149">
        <v>2</v>
      </c>
      <c r="B57" s="184">
        <f t="shared" si="4"/>
        <v>44228</v>
      </c>
      <c r="C57" s="207">
        <f t="shared" si="18"/>
        <v>44258</v>
      </c>
      <c r="D57" s="207">
        <f t="shared" si="18"/>
        <v>44279</v>
      </c>
      <c r="E57" s="194" t="s">
        <v>14</v>
      </c>
      <c r="F57" s="149">
        <v>9</v>
      </c>
      <c r="G57" s="187">
        <v>1062</v>
      </c>
      <c r="H57" s="188">
        <f t="shared" si="5"/>
        <v>1.1251790663222052</v>
      </c>
      <c r="I57" s="188">
        <f t="shared" si="1"/>
        <v>1.3376212393608571</v>
      </c>
      <c r="J57" s="189">
        <f t="shared" si="2"/>
        <v>1420.5537562012303</v>
      </c>
      <c r="K57" s="190">
        <f t="shared" si="11"/>
        <v>1194.9401684341819</v>
      </c>
      <c r="L57" s="191">
        <f t="shared" si="12"/>
        <v>225.61358776704833</v>
      </c>
      <c r="M57" s="192">
        <f t="shared" si="7"/>
        <v>7.0296700508192114</v>
      </c>
      <c r="N57" s="193">
        <f t="shared" si="8"/>
        <v>232.64325781786755</v>
      </c>
      <c r="O57" s="192">
        <v>0</v>
      </c>
      <c r="P57" s="192">
        <v>0</v>
      </c>
      <c r="Q57" s="192">
        <v>0</v>
      </c>
      <c r="R57" s="193">
        <f t="shared" si="9"/>
        <v>232.64325781786755</v>
      </c>
    </row>
    <row r="58" spans="1:18" x14ac:dyDescent="0.2">
      <c r="A58" s="149">
        <v>3</v>
      </c>
      <c r="B58" s="184">
        <f t="shared" si="4"/>
        <v>44256</v>
      </c>
      <c r="C58" s="207">
        <f t="shared" si="18"/>
        <v>44291</v>
      </c>
      <c r="D58" s="207">
        <f t="shared" si="18"/>
        <v>44312</v>
      </c>
      <c r="E58" s="194" t="s">
        <v>14</v>
      </c>
      <c r="F58" s="149">
        <v>9</v>
      </c>
      <c r="G58" s="187">
        <v>599</v>
      </c>
      <c r="H58" s="188">
        <f t="shared" si="5"/>
        <v>1.1251790663222052</v>
      </c>
      <c r="I58" s="188">
        <f t="shared" si="1"/>
        <v>1.3376212393608571</v>
      </c>
      <c r="J58" s="189">
        <f t="shared" si="2"/>
        <v>801.2351223771534</v>
      </c>
      <c r="K58" s="190">
        <f t="shared" si="11"/>
        <v>673.98226072700095</v>
      </c>
      <c r="L58" s="191">
        <f>+J58-K58</f>
        <v>127.25286165015245</v>
      </c>
      <c r="M58" s="192">
        <f t="shared" si="7"/>
        <v>3.9649457254620599</v>
      </c>
      <c r="N58" s="193">
        <f t="shared" si="8"/>
        <v>131.21780737561451</v>
      </c>
      <c r="O58" s="192">
        <v>0</v>
      </c>
      <c r="P58" s="192">
        <v>0</v>
      </c>
      <c r="Q58" s="192">
        <v>0</v>
      </c>
      <c r="R58" s="193">
        <f t="shared" si="9"/>
        <v>131.21780737561451</v>
      </c>
    </row>
    <row r="59" spans="1:18" x14ac:dyDescent="0.2">
      <c r="A59" s="112">
        <v>4</v>
      </c>
      <c r="B59" s="184">
        <f t="shared" si="4"/>
        <v>44287</v>
      </c>
      <c r="C59" s="207">
        <f t="shared" si="18"/>
        <v>44321</v>
      </c>
      <c r="D59" s="207">
        <f t="shared" si="18"/>
        <v>44340</v>
      </c>
      <c r="E59" s="194" t="s">
        <v>14</v>
      </c>
      <c r="F59" s="149">
        <v>9</v>
      </c>
      <c r="G59" s="187">
        <v>447</v>
      </c>
      <c r="H59" s="188">
        <f t="shared" si="5"/>
        <v>1.1251790663222052</v>
      </c>
      <c r="I59" s="188">
        <f t="shared" si="1"/>
        <v>1.3376212393608571</v>
      </c>
      <c r="J59" s="189">
        <f t="shared" si="2"/>
        <v>597.91669399430316</v>
      </c>
      <c r="K59" s="190">
        <f t="shared" si="11"/>
        <v>502.95504264602573</v>
      </c>
      <c r="L59" s="191">
        <f t="shared" ref="L59:L81" si="19">+J59-K59</f>
        <v>94.961651348277428</v>
      </c>
      <c r="M59" s="192">
        <f t="shared" si="7"/>
        <v>2.9588159253448092</v>
      </c>
      <c r="N59" s="193">
        <f t="shared" si="8"/>
        <v>97.920467273622236</v>
      </c>
      <c r="O59" s="192">
        <v>0</v>
      </c>
      <c r="P59" s="192">
        <v>0</v>
      </c>
      <c r="Q59" s="192">
        <v>0</v>
      </c>
      <c r="R59" s="193">
        <f t="shared" si="9"/>
        <v>97.920467273622236</v>
      </c>
    </row>
    <row r="60" spans="1:18" x14ac:dyDescent="0.2">
      <c r="A60" s="149">
        <v>5</v>
      </c>
      <c r="B60" s="184">
        <f t="shared" si="4"/>
        <v>44317</v>
      </c>
      <c r="C60" s="207">
        <f t="shared" si="18"/>
        <v>44350</v>
      </c>
      <c r="D60" s="207">
        <f t="shared" si="18"/>
        <v>44371</v>
      </c>
      <c r="E60" s="54" t="s">
        <v>14</v>
      </c>
      <c r="F60" s="149">
        <v>9</v>
      </c>
      <c r="G60" s="187">
        <v>603</v>
      </c>
      <c r="H60" s="188">
        <f t="shared" si="5"/>
        <v>1.1251790663222052</v>
      </c>
      <c r="I60" s="188">
        <f t="shared" si="1"/>
        <v>1.3376212393608571</v>
      </c>
      <c r="J60" s="189">
        <f t="shared" si="2"/>
        <v>806.58560733459683</v>
      </c>
      <c r="K60" s="190">
        <f t="shared" si="11"/>
        <v>678.48297699228976</v>
      </c>
      <c r="L60" s="191">
        <f t="shared" si="19"/>
        <v>128.10263034230707</v>
      </c>
      <c r="M60" s="192">
        <f t="shared" si="7"/>
        <v>3.9914228254651452</v>
      </c>
      <c r="N60" s="193">
        <f t="shared" si="8"/>
        <v>132.09405316777222</v>
      </c>
      <c r="O60" s="192">
        <v>0</v>
      </c>
      <c r="P60" s="192">
        <v>0</v>
      </c>
      <c r="Q60" s="192">
        <v>0</v>
      </c>
      <c r="R60" s="193">
        <f t="shared" si="9"/>
        <v>132.09405316777222</v>
      </c>
    </row>
    <row r="61" spans="1:18" x14ac:dyDescent="0.2">
      <c r="A61" s="149">
        <v>6</v>
      </c>
      <c r="B61" s="184">
        <f t="shared" si="4"/>
        <v>44348</v>
      </c>
      <c r="C61" s="207">
        <f t="shared" si="18"/>
        <v>44383</v>
      </c>
      <c r="D61" s="207">
        <f t="shared" si="18"/>
        <v>44401</v>
      </c>
      <c r="E61" s="54" t="s">
        <v>14</v>
      </c>
      <c r="F61" s="149">
        <v>9</v>
      </c>
      <c r="G61" s="187">
        <v>840</v>
      </c>
      <c r="H61" s="188">
        <f t="shared" si="5"/>
        <v>1.1251790663222052</v>
      </c>
      <c r="I61" s="188">
        <f t="shared" si="1"/>
        <v>1.3376212393608571</v>
      </c>
      <c r="J61" s="189">
        <f t="shared" si="2"/>
        <v>1123.60184106312</v>
      </c>
      <c r="K61" s="190">
        <f t="shared" si="11"/>
        <v>945.1504157106524</v>
      </c>
      <c r="L61" s="195">
        <f t="shared" si="19"/>
        <v>178.4514253524676</v>
      </c>
      <c r="M61" s="192">
        <f t="shared" si="7"/>
        <v>5.560191000647964</v>
      </c>
      <c r="N61" s="193">
        <f t="shared" si="8"/>
        <v>184.01161635311556</v>
      </c>
      <c r="O61" s="192">
        <v>0</v>
      </c>
      <c r="P61" s="192">
        <v>0</v>
      </c>
      <c r="Q61" s="192">
        <v>0</v>
      </c>
      <c r="R61" s="193">
        <f t="shared" si="9"/>
        <v>184.01161635311556</v>
      </c>
    </row>
    <row r="62" spans="1:18" x14ac:dyDescent="0.2">
      <c r="A62" s="112">
        <v>7</v>
      </c>
      <c r="B62" s="184">
        <f t="shared" si="4"/>
        <v>44378</v>
      </c>
      <c r="C62" s="207">
        <f t="shared" si="18"/>
        <v>44412</v>
      </c>
      <c r="D62" s="207">
        <f t="shared" si="18"/>
        <v>44432</v>
      </c>
      <c r="E62" s="54" t="s">
        <v>14</v>
      </c>
      <c r="F62" s="149">
        <v>9</v>
      </c>
      <c r="G62" s="187">
        <v>926</v>
      </c>
      <c r="H62" s="188">
        <f t="shared" si="5"/>
        <v>1.1251790663222052</v>
      </c>
      <c r="I62" s="188">
        <f t="shared" si="1"/>
        <v>1.3376212393608571</v>
      </c>
      <c r="J62" s="189">
        <f t="shared" si="2"/>
        <v>1238.6372676481537</v>
      </c>
      <c r="K62" s="196">
        <f t="shared" si="11"/>
        <v>1041.915815414362</v>
      </c>
      <c r="L62" s="195">
        <f t="shared" si="19"/>
        <v>196.72145223379175</v>
      </c>
      <c r="M62" s="192">
        <f t="shared" si="7"/>
        <v>6.129448650714302</v>
      </c>
      <c r="N62" s="193">
        <f t="shared" si="8"/>
        <v>202.85090088450605</v>
      </c>
      <c r="O62" s="192">
        <v>0</v>
      </c>
      <c r="P62" s="192">
        <v>0</v>
      </c>
      <c r="Q62" s="192">
        <v>0</v>
      </c>
      <c r="R62" s="193">
        <f t="shared" si="9"/>
        <v>202.85090088450605</v>
      </c>
    </row>
    <row r="63" spans="1:18" x14ac:dyDescent="0.2">
      <c r="A63" s="149">
        <v>8</v>
      </c>
      <c r="B63" s="184">
        <f t="shared" si="4"/>
        <v>44409</v>
      </c>
      <c r="C63" s="207">
        <f t="shared" si="18"/>
        <v>44442</v>
      </c>
      <c r="D63" s="207">
        <f t="shared" si="18"/>
        <v>44463</v>
      </c>
      <c r="E63" s="54" t="s">
        <v>14</v>
      </c>
      <c r="F63" s="149">
        <v>9</v>
      </c>
      <c r="G63" s="187">
        <v>943</v>
      </c>
      <c r="H63" s="188">
        <f t="shared" si="5"/>
        <v>1.1251790663222052</v>
      </c>
      <c r="I63" s="188">
        <f t="shared" si="1"/>
        <v>1.3376212393608571</v>
      </c>
      <c r="J63" s="189">
        <f t="shared" si="2"/>
        <v>1261.3768287172882</v>
      </c>
      <c r="K63" s="196">
        <f t="shared" si="11"/>
        <v>1061.0438595418395</v>
      </c>
      <c r="L63" s="195">
        <f t="shared" si="19"/>
        <v>200.33296917544862</v>
      </c>
      <c r="M63" s="192">
        <f t="shared" si="7"/>
        <v>6.2419763257274168</v>
      </c>
      <c r="N63" s="193">
        <f t="shared" si="8"/>
        <v>206.57494550117605</v>
      </c>
      <c r="O63" s="192">
        <v>0</v>
      </c>
      <c r="P63" s="192">
        <v>0</v>
      </c>
      <c r="Q63" s="192">
        <v>0</v>
      </c>
      <c r="R63" s="193">
        <f t="shared" si="9"/>
        <v>206.57494550117605</v>
      </c>
    </row>
    <row r="64" spans="1:18" x14ac:dyDescent="0.2">
      <c r="A64" s="149">
        <v>9</v>
      </c>
      <c r="B64" s="184">
        <f t="shared" si="4"/>
        <v>44440</v>
      </c>
      <c r="C64" s="207">
        <f t="shared" si="18"/>
        <v>44474</v>
      </c>
      <c r="D64" s="207">
        <f t="shared" si="18"/>
        <v>44494</v>
      </c>
      <c r="E64" s="54" t="s">
        <v>14</v>
      </c>
      <c r="F64" s="149">
        <v>9</v>
      </c>
      <c r="G64" s="187">
        <v>913</v>
      </c>
      <c r="H64" s="188">
        <f t="shared" si="5"/>
        <v>1.1251790663222052</v>
      </c>
      <c r="I64" s="188">
        <f t="shared" ref="I64:I107" si="20">$J$3</f>
        <v>1.3376212393608571</v>
      </c>
      <c r="J64" s="189">
        <f t="shared" si="2"/>
        <v>1221.2481915364626</v>
      </c>
      <c r="K64" s="196">
        <f t="shared" si="11"/>
        <v>1027.2884875521734</v>
      </c>
      <c r="L64" s="195">
        <f t="shared" si="19"/>
        <v>193.95970398428926</v>
      </c>
      <c r="M64" s="192">
        <f t="shared" si="7"/>
        <v>6.0433980757042747</v>
      </c>
      <c r="N64" s="193">
        <f t="shared" si="8"/>
        <v>200.00310205999352</v>
      </c>
      <c r="O64" s="192">
        <v>0</v>
      </c>
      <c r="P64" s="192">
        <v>0</v>
      </c>
      <c r="Q64" s="192">
        <v>0</v>
      </c>
      <c r="R64" s="193">
        <f t="shared" si="9"/>
        <v>200.00310205999352</v>
      </c>
    </row>
    <row r="65" spans="1:18" x14ac:dyDescent="0.2">
      <c r="A65" s="112">
        <v>10</v>
      </c>
      <c r="B65" s="184">
        <f t="shared" si="4"/>
        <v>44470</v>
      </c>
      <c r="C65" s="207">
        <f t="shared" si="18"/>
        <v>44503</v>
      </c>
      <c r="D65" s="207">
        <f t="shared" si="18"/>
        <v>44524</v>
      </c>
      <c r="E65" s="54" t="s">
        <v>14</v>
      </c>
      <c r="F65" s="149">
        <v>9</v>
      </c>
      <c r="G65" s="187">
        <v>681</v>
      </c>
      <c r="H65" s="188">
        <f t="shared" si="5"/>
        <v>1.1251790663222052</v>
      </c>
      <c r="I65" s="188">
        <f t="shared" si="20"/>
        <v>1.3376212393608571</v>
      </c>
      <c r="J65" s="189">
        <f t="shared" si="2"/>
        <v>910.92006400474372</v>
      </c>
      <c r="K65" s="196">
        <f t="shared" si="11"/>
        <v>766.24694416542172</v>
      </c>
      <c r="L65" s="195">
        <f t="shared" si="19"/>
        <v>144.673119839322</v>
      </c>
      <c r="M65" s="192">
        <f t="shared" si="7"/>
        <v>4.5077262755253136</v>
      </c>
      <c r="N65" s="193">
        <f t="shared" si="8"/>
        <v>149.1808461148473</v>
      </c>
      <c r="O65" s="192">
        <v>0</v>
      </c>
      <c r="P65" s="192">
        <v>0</v>
      </c>
      <c r="Q65" s="192">
        <v>0</v>
      </c>
      <c r="R65" s="193">
        <f t="shared" si="9"/>
        <v>149.1808461148473</v>
      </c>
    </row>
    <row r="66" spans="1:18" x14ac:dyDescent="0.2">
      <c r="A66" s="149">
        <v>11</v>
      </c>
      <c r="B66" s="184">
        <f t="shared" si="4"/>
        <v>44501</v>
      </c>
      <c r="C66" s="207">
        <f t="shared" si="18"/>
        <v>44533</v>
      </c>
      <c r="D66" s="207">
        <f t="shared" si="18"/>
        <v>44557</v>
      </c>
      <c r="E66" s="54" t="s">
        <v>14</v>
      </c>
      <c r="F66" s="149">
        <v>9</v>
      </c>
      <c r="G66" s="187">
        <v>652</v>
      </c>
      <c r="H66" s="188">
        <f t="shared" si="5"/>
        <v>1.1251790663222052</v>
      </c>
      <c r="I66" s="188">
        <f t="shared" si="20"/>
        <v>1.3376212393608571</v>
      </c>
      <c r="J66" s="189">
        <f t="shared" si="2"/>
        <v>872.12904806327879</v>
      </c>
      <c r="K66" s="196">
        <f t="shared" si="11"/>
        <v>733.61675124207784</v>
      </c>
      <c r="L66" s="195">
        <f t="shared" si="19"/>
        <v>138.51229682120095</v>
      </c>
      <c r="M66" s="192">
        <f t="shared" si="7"/>
        <v>4.3157673005029435</v>
      </c>
      <c r="N66" s="193">
        <f t="shared" si="8"/>
        <v>142.8280641217039</v>
      </c>
      <c r="O66" s="192">
        <v>0</v>
      </c>
      <c r="P66" s="192">
        <v>0</v>
      </c>
      <c r="Q66" s="192">
        <v>0</v>
      </c>
      <c r="R66" s="193">
        <f t="shared" si="9"/>
        <v>142.8280641217039</v>
      </c>
    </row>
    <row r="67" spans="1:18" s="211" customFormat="1" x14ac:dyDescent="0.2">
      <c r="A67" s="149">
        <v>12</v>
      </c>
      <c r="B67" s="209">
        <f t="shared" si="4"/>
        <v>44531</v>
      </c>
      <c r="C67" s="207">
        <f t="shared" si="18"/>
        <v>44566</v>
      </c>
      <c r="D67" s="207">
        <f t="shared" si="18"/>
        <v>44585</v>
      </c>
      <c r="E67" s="210" t="s">
        <v>14</v>
      </c>
      <c r="F67" s="160">
        <v>9</v>
      </c>
      <c r="G67" s="187">
        <v>634</v>
      </c>
      <c r="H67" s="199">
        <f t="shared" si="5"/>
        <v>1.1251790663222052</v>
      </c>
      <c r="I67" s="199">
        <f t="shared" si="20"/>
        <v>1.3376212393608571</v>
      </c>
      <c r="J67" s="200">
        <f t="shared" si="2"/>
        <v>848.05186575478342</v>
      </c>
      <c r="K67" s="201">
        <f t="shared" si="11"/>
        <v>713.36352804827811</v>
      </c>
      <c r="L67" s="202">
        <f t="shared" si="19"/>
        <v>134.68833770650531</v>
      </c>
      <c r="M67" s="192">
        <f t="shared" si="7"/>
        <v>4.1966203504890585</v>
      </c>
      <c r="N67" s="193">
        <f t="shared" si="8"/>
        <v>138.88495805699438</v>
      </c>
      <c r="O67" s="192">
        <v>0</v>
      </c>
      <c r="P67" s="192">
        <v>0</v>
      </c>
      <c r="Q67" s="192">
        <v>0</v>
      </c>
      <c r="R67" s="193">
        <f t="shared" si="9"/>
        <v>138.88495805699438</v>
      </c>
    </row>
    <row r="68" spans="1:18" x14ac:dyDescent="0.2">
      <c r="A68" s="112">
        <v>1</v>
      </c>
      <c r="B68" s="184">
        <f t="shared" si="4"/>
        <v>44197</v>
      </c>
      <c r="C68" s="204">
        <f t="shared" ref="C68:D79" si="21">+C56</f>
        <v>44230</v>
      </c>
      <c r="D68" s="204">
        <f t="shared" si="21"/>
        <v>44251</v>
      </c>
      <c r="E68" s="186" t="s">
        <v>85</v>
      </c>
      <c r="F68" s="112">
        <v>9</v>
      </c>
      <c r="G68" s="187">
        <v>38</v>
      </c>
      <c r="H68" s="188">
        <f t="shared" si="5"/>
        <v>1.1251790663222052</v>
      </c>
      <c r="I68" s="188">
        <f t="shared" si="20"/>
        <v>1.3376212393608571</v>
      </c>
      <c r="J68" s="189">
        <f t="shared" si="2"/>
        <v>50.829607095712568</v>
      </c>
      <c r="K68" s="190">
        <f t="shared" si="11"/>
        <v>42.756804520243797</v>
      </c>
      <c r="L68" s="191">
        <f t="shared" si="19"/>
        <v>8.0728025754687707</v>
      </c>
      <c r="M68" s="192">
        <f t="shared" si="7"/>
        <v>0.25153245002931263</v>
      </c>
      <c r="N68" s="193">
        <f t="shared" si="8"/>
        <v>8.3243350254980832</v>
      </c>
      <c r="O68" s="192">
        <v>0</v>
      </c>
      <c r="P68" s="192">
        <v>0</v>
      </c>
      <c r="Q68" s="192">
        <v>0</v>
      </c>
      <c r="R68" s="193">
        <f t="shared" si="9"/>
        <v>8.3243350254980832</v>
      </c>
    </row>
    <row r="69" spans="1:18" x14ac:dyDescent="0.2">
      <c r="A69" s="149">
        <v>2</v>
      </c>
      <c r="B69" s="184">
        <f t="shared" si="4"/>
        <v>44228</v>
      </c>
      <c r="C69" s="207">
        <f t="shared" si="21"/>
        <v>44258</v>
      </c>
      <c r="D69" s="207">
        <f t="shared" si="21"/>
        <v>44279</v>
      </c>
      <c r="E69" s="194" t="s">
        <v>85</v>
      </c>
      <c r="F69" s="149">
        <v>9</v>
      </c>
      <c r="G69" s="187">
        <v>60</v>
      </c>
      <c r="H69" s="188">
        <f t="shared" si="5"/>
        <v>1.1251790663222052</v>
      </c>
      <c r="I69" s="188">
        <f t="shared" si="20"/>
        <v>1.3376212393608571</v>
      </c>
      <c r="J69" s="189">
        <f t="shared" si="2"/>
        <v>80.257274361651426</v>
      </c>
      <c r="K69" s="190">
        <f t="shared" si="11"/>
        <v>67.510743979332318</v>
      </c>
      <c r="L69" s="191">
        <f t="shared" si="19"/>
        <v>12.746530382319108</v>
      </c>
      <c r="M69" s="192">
        <f t="shared" si="7"/>
        <v>0.39715650004628311</v>
      </c>
      <c r="N69" s="193">
        <f t="shared" si="8"/>
        <v>13.14368688236539</v>
      </c>
      <c r="O69" s="192">
        <v>0</v>
      </c>
      <c r="P69" s="192">
        <v>0</v>
      </c>
      <c r="Q69" s="192">
        <v>0</v>
      </c>
      <c r="R69" s="193">
        <f t="shared" si="9"/>
        <v>13.14368688236539</v>
      </c>
    </row>
    <row r="70" spans="1:18" x14ac:dyDescent="0.2">
      <c r="A70" s="149">
        <v>3</v>
      </c>
      <c r="B70" s="184">
        <f t="shared" si="4"/>
        <v>44256</v>
      </c>
      <c r="C70" s="207">
        <f t="shared" si="21"/>
        <v>44291</v>
      </c>
      <c r="D70" s="207">
        <f t="shared" si="21"/>
        <v>44312</v>
      </c>
      <c r="E70" s="194" t="s">
        <v>85</v>
      </c>
      <c r="F70" s="149">
        <v>9</v>
      </c>
      <c r="G70" s="187">
        <v>31</v>
      </c>
      <c r="H70" s="188">
        <f t="shared" si="5"/>
        <v>1.1251790663222052</v>
      </c>
      <c r="I70" s="188">
        <f t="shared" si="20"/>
        <v>1.3376212393608571</v>
      </c>
      <c r="J70" s="189">
        <f t="shared" si="2"/>
        <v>41.46625842018657</v>
      </c>
      <c r="K70" s="190">
        <f t="shared" si="11"/>
        <v>34.880551055988363</v>
      </c>
      <c r="L70" s="191">
        <f>+J70-K70</f>
        <v>6.5857073641982069</v>
      </c>
      <c r="M70" s="192">
        <f t="shared" si="7"/>
        <v>0.20519752502391295</v>
      </c>
      <c r="N70" s="193">
        <f t="shared" si="8"/>
        <v>6.7909048892221202</v>
      </c>
      <c r="O70" s="192">
        <v>0</v>
      </c>
      <c r="P70" s="192">
        <v>0</v>
      </c>
      <c r="Q70" s="192">
        <v>0</v>
      </c>
      <c r="R70" s="193">
        <f t="shared" si="9"/>
        <v>6.7909048892221202</v>
      </c>
    </row>
    <row r="71" spans="1:18" x14ac:dyDescent="0.2">
      <c r="A71" s="112">
        <v>4</v>
      </c>
      <c r="B71" s="184">
        <f t="shared" si="4"/>
        <v>44287</v>
      </c>
      <c r="C71" s="207">
        <f t="shared" si="21"/>
        <v>44321</v>
      </c>
      <c r="D71" s="207">
        <f t="shared" si="21"/>
        <v>44340</v>
      </c>
      <c r="E71" s="194" t="s">
        <v>85</v>
      </c>
      <c r="F71" s="149">
        <v>9</v>
      </c>
      <c r="G71" s="187">
        <v>20</v>
      </c>
      <c r="H71" s="188">
        <f t="shared" si="5"/>
        <v>1.1251790663222052</v>
      </c>
      <c r="I71" s="188">
        <f t="shared" si="20"/>
        <v>1.3376212393608571</v>
      </c>
      <c r="J71" s="189">
        <f t="shared" si="2"/>
        <v>26.752424787217141</v>
      </c>
      <c r="K71" s="190">
        <f t="shared" si="11"/>
        <v>22.503581326444106</v>
      </c>
      <c r="L71" s="191">
        <f t="shared" ref="L71:L79" si="22">+J71-K71</f>
        <v>4.2488434607730348</v>
      </c>
      <c r="M71" s="192">
        <f t="shared" si="7"/>
        <v>0.1323855000154277</v>
      </c>
      <c r="N71" s="193">
        <f t="shared" si="8"/>
        <v>4.3812289607884622</v>
      </c>
      <c r="O71" s="192">
        <v>0</v>
      </c>
      <c r="P71" s="192">
        <v>0</v>
      </c>
      <c r="Q71" s="192">
        <v>0</v>
      </c>
      <c r="R71" s="193">
        <f t="shared" si="9"/>
        <v>4.3812289607884622</v>
      </c>
    </row>
    <row r="72" spans="1:18" x14ac:dyDescent="0.2">
      <c r="A72" s="149">
        <v>5</v>
      </c>
      <c r="B72" s="184">
        <f t="shared" si="4"/>
        <v>44317</v>
      </c>
      <c r="C72" s="207">
        <f t="shared" si="21"/>
        <v>44350</v>
      </c>
      <c r="D72" s="207">
        <f t="shared" si="21"/>
        <v>44371</v>
      </c>
      <c r="E72" s="194" t="s">
        <v>85</v>
      </c>
      <c r="F72" s="149">
        <v>9</v>
      </c>
      <c r="G72" s="187">
        <v>28</v>
      </c>
      <c r="H72" s="188">
        <f t="shared" si="5"/>
        <v>1.1251790663222052</v>
      </c>
      <c r="I72" s="188">
        <f t="shared" si="20"/>
        <v>1.3376212393608571</v>
      </c>
      <c r="J72" s="189">
        <f t="shared" si="2"/>
        <v>37.453394702103999</v>
      </c>
      <c r="K72" s="190">
        <f t="shared" si="11"/>
        <v>31.505013857021744</v>
      </c>
      <c r="L72" s="191">
        <f t="shared" si="22"/>
        <v>5.9483808450822551</v>
      </c>
      <c r="M72" s="192">
        <f t="shared" si="7"/>
        <v>0.1853397000215988</v>
      </c>
      <c r="N72" s="193">
        <f t="shared" si="8"/>
        <v>6.1337205451038539</v>
      </c>
      <c r="O72" s="192">
        <v>0</v>
      </c>
      <c r="P72" s="192">
        <v>0</v>
      </c>
      <c r="Q72" s="192">
        <v>0</v>
      </c>
      <c r="R72" s="193">
        <f t="shared" si="9"/>
        <v>6.1337205451038539</v>
      </c>
    </row>
    <row r="73" spans="1:18" x14ac:dyDescent="0.2">
      <c r="A73" s="149">
        <v>6</v>
      </c>
      <c r="B73" s="184">
        <f t="shared" si="4"/>
        <v>44348</v>
      </c>
      <c r="C73" s="207">
        <f t="shared" si="21"/>
        <v>44383</v>
      </c>
      <c r="D73" s="207">
        <f t="shared" si="21"/>
        <v>44401</v>
      </c>
      <c r="E73" s="194" t="s">
        <v>85</v>
      </c>
      <c r="F73" s="149">
        <v>9</v>
      </c>
      <c r="G73" s="187">
        <v>45</v>
      </c>
      <c r="H73" s="188">
        <f t="shared" si="5"/>
        <v>1.1251790663222052</v>
      </c>
      <c r="I73" s="188">
        <f t="shared" si="20"/>
        <v>1.3376212393608571</v>
      </c>
      <c r="J73" s="189">
        <f t="shared" si="2"/>
        <v>60.192955771238566</v>
      </c>
      <c r="K73" s="190">
        <f t="shared" si="11"/>
        <v>50.633057984499231</v>
      </c>
      <c r="L73" s="195">
        <f t="shared" si="22"/>
        <v>9.5598977867393344</v>
      </c>
      <c r="M73" s="192">
        <f t="shared" si="7"/>
        <v>0.29786737503471233</v>
      </c>
      <c r="N73" s="193">
        <f t="shared" si="8"/>
        <v>9.8577651617740472</v>
      </c>
      <c r="O73" s="192">
        <v>0</v>
      </c>
      <c r="P73" s="192">
        <v>0</v>
      </c>
      <c r="Q73" s="192">
        <v>0</v>
      </c>
      <c r="R73" s="193">
        <f t="shared" si="9"/>
        <v>9.8577651617740472</v>
      </c>
    </row>
    <row r="74" spans="1:18" x14ac:dyDescent="0.2">
      <c r="A74" s="112">
        <v>7</v>
      </c>
      <c r="B74" s="184">
        <f t="shared" si="4"/>
        <v>44378</v>
      </c>
      <c r="C74" s="207">
        <f t="shared" si="21"/>
        <v>44412</v>
      </c>
      <c r="D74" s="207">
        <f t="shared" si="21"/>
        <v>44432</v>
      </c>
      <c r="E74" s="194" t="s">
        <v>85</v>
      </c>
      <c r="F74" s="149">
        <v>9</v>
      </c>
      <c r="G74" s="187">
        <v>53</v>
      </c>
      <c r="H74" s="188">
        <f t="shared" si="5"/>
        <v>1.1251790663222052</v>
      </c>
      <c r="I74" s="188">
        <f t="shared" si="20"/>
        <v>1.3376212393608571</v>
      </c>
      <c r="J74" s="189">
        <f t="shared" si="2"/>
        <v>70.893925686125428</v>
      </c>
      <c r="K74" s="196">
        <f t="shared" si="11"/>
        <v>59.634490515076877</v>
      </c>
      <c r="L74" s="195">
        <f t="shared" si="22"/>
        <v>11.259435171048551</v>
      </c>
      <c r="M74" s="192">
        <f t="shared" si="7"/>
        <v>0.35082157504088346</v>
      </c>
      <c r="N74" s="193">
        <f t="shared" si="8"/>
        <v>11.610256746089435</v>
      </c>
      <c r="O74" s="192">
        <v>0</v>
      </c>
      <c r="P74" s="192">
        <v>0</v>
      </c>
      <c r="Q74" s="192">
        <v>0</v>
      </c>
      <c r="R74" s="193">
        <f t="shared" si="9"/>
        <v>11.610256746089435</v>
      </c>
    </row>
    <row r="75" spans="1:18" x14ac:dyDescent="0.2">
      <c r="A75" s="149">
        <v>8</v>
      </c>
      <c r="B75" s="184">
        <f t="shared" si="4"/>
        <v>44409</v>
      </c>
      <c r="C75" s="207">
        <f t="shared" si="21"/>
        <v>44442</v>
      </c>
      <c r="D75" s="207">
        <f t="shared" si="21"/>
        <v>44463</v>
      </c>
      <c r="E75" s="194" t="s">
        <v>85</v>
      </c>
      <c r="F75" s="149">
        <v>9</v>
      </c>
      <c r="G75" s="187">
        <v>50</v>
      </c>
      <c r="H75" s="188">
        <f t="shared" si="5"/>
        <v>1.1251790663222052</v>
      </c>
      <c r="I75" s="188">
        <f t="shared" si="20"/>
        <v>1.3376212393608571</v>
      </c>
      <c r="J75" s="189">
        <f t="shared" si="2"/>
        <v>66.881061968042857</v>
      </c>
      <c r="K75" s="196">
        <f t="shared" si="11"/>
        <v>56.258953316110258</v>
      </c>
      <c r="L75" s="195">
        <f t="shared" si="22"/>
        <v>10.622108651932599</v>
      </c>
      <c r="M75" s="192">
        <f t="shared" si="7"/>
        <v>0.33096375003856932</v>
      </c>
      <c r="N75" s="193">
        <f t="shared" si="8"/>
        <v>10.953072401971168</v>
      </c>
      <c r="O75" s="192">
        <v>0</v>
      </c>
      <c r="P75" s="192">
        <v>0</v>
      </c>
      <c r="Q75" s="192">
        <v>0</v>
      </c>
      <c r="R75" s="193">
        <f t="shared" si="9"/>
        <v>10.953072401971168</v>
      </c>
    </row>
    <row r="76" spans="1:18" x14ac:dyDescent="0.2">
      <c r="A76" s="149">
        <v>9</v>
      </c>
      <c r="B76" s="184">
        <f t="shared" si="4"/>
        <v>44440</v>
      </c>
      <c r="C76" s="207">
        <f t="shared" si="21"/>
        <v>44474</v>
      </c>
      <c r="D76" s="207">
        <f t="shared" si="21"/>
        <v>44494</v>
      </c>
      <c r="E76" s="194" t="s">
        <v>85</v>
      </c>
      <c r="F76" s="149">
        <v>9</v>
      </c>
      <c r="G76" s="187">
        <v>49</v>
      </c>
      <c r="H76" s="188">
        <f t="shared" si="5"/>
        <v>1.1251790663222052</v>
      </c>
      <c r="I76" s="188">
        <f t="shared" si="20"/>
        <v>1.3376212393608571</v>
      </c>
      <c r="J76" s="189">
        <f t="shared" si="2"/>
        <v>65.543440728682</v>
      </c>
      <c r="K76" s="196">
        <f t="shared" si="11"/>
        <v>55.133774249788054</v>
      </c>
      <c r="L76" s="195">
        <f t="shared" si="22"/>
        <v>10.409666478893946</v>
      </c>
      <c r="M76" s="192">
        <f t="shared" si="7"/>
        <v>0.3243444750377979</v>
      </c>
      <c r="N76" s="193">
        <f t="shared" si="8"/>
        <v>10.734010953931744</v>
      </c>
      <c r="O76" s="192">
        <v>0</v>
      </c>
      <c r="P76" s="192">
        <v>0</v>
      </c>
      <c r="Q76" s="192">
        <v>0</v>
      </c>
      <c r="R76" s="193">
        <f t="shared" si="9"/>
        <v>10.734010953931744</v>
      </c>
    </row>
    <row r="77" spans="1:18" x14ac:dyDescent="0.2">
      <c r="A77" s="112">
        <v>10</v>
      </c>
      <c r="B77" s="184">
        <f t="shared" si="4"/>
        <v>44470</v>
      </c>
      <c r="C77" s="207">
        <f t="shared" si="21"/>
        <v>44503</v>
      </c>
      <c r="D77" s="207">
        <f t="shared" si="21"/>
        <v>44524</v>
      </c>
      <c r="E77" s="194" t="s">
        <v>85</v>
      </c>
      <c r="F77" s="149">
        <v>9</v>
      </c>
      <c r="G77" s="187">
        <v>38</v>
      </c>
      <c r="H77" s="188">
        <f t="shared" si="5"/>
        <v>1.1251790663222052</v>
      </c>
      <c r="I77" s="188">
        <f t="shared" si="20"/>
        <v>1.3376212393608571</v>
      </c>
      <c r="J77" s="189">
        <f t="shared" si="2"/>
        <v>50.829607095712568</v>
      </c>
      <c r="K77" s="196">
        <f t="shared" si="11"/>
        <v>42.756804520243797</v>
      </c>
      <c r="L77" s="195">
        <f t="shared" si="22"/>
        <v>8.0728025754687707</v>
      </c>
      <c r="M77" s="192">
        <f t="shared" si="7"/>
        <v>0.25153245002931263</v>
      </c>
      <c r="N77" s="193">
        <f t="shared" si="8"/>
        <v>8.3243350254980832</v>
      </c>
      <c r="O77" s="192">
        <v>0</v>
      </c>
      <c r="P77" s="192">
        <v>0</v>
      </c>
      <c r="Q77" s="192">
        <v>0</v>
      </c>
      <c r="R77" s="193">
        <f t="shared" si="9"/>
        <v>8.3243350254980832</v>
      </c>
    </row>
    <row r="78" spans="1:18" x14ac:dyDescent="0.2">
      <c r="A78" s="149">
        <v>11</v>
      </c>
      <c r="B78" s="184">
        <f t="shared" si="4"/>
        <v>44501</v>
      </c>
      <c r="C78" s="207">
        <f t="shared" si="21"/>
        <v>44533</v>
      </c>
      <c r="D78" s="207">
        <f t="shared" si="21"/>
        <v>44557</v>
      </c>
      <c r="E78" s="194" t="s">
        <v>85</v>
      </c>
      <c r="F78" s="149">
        <v>9</v>
      </c>
      <c r="G78" s="187">
        <v>32</v>
      </c>
      <c r="H78" s="188">
        <f t="shared" si="5"/>
        <v>1.1251790663222052</v>
      </c>
      <c r="I78" s="188">
        <f t="shared" si="20"/>
        <v>1.3376212393608571</v>
      </c>
      <c r="J78" s="189">
        <f t="shared" si="2"/>
        <v>42.803879659547427</v>
      </c>
      <c r="K78" s="196">
        <f>+$G78*H78</f>
        <v>36.005730122310567</v>
      </c>
      <c r="L78" s="195">
        <f t="shared" si="22"/>
        <v>6.7981495372368599</v>
      </c>
      <c r="M78" s="192">
        <f t="shared" si="7"/>
        <v>0.21181680002468434</v>
      </c>
      <c r="N78" s="193">
        <f t="shared" si="8"/>
        <v>7.0099663372615444</v>
      </c>
      <c r="O78" s="192">
        <v>0</v>
      </c>
      <c r="P78" s="192">
        <v>0</v>
      </c>
      <c r="Q78" s="192">
        <v>0</v>
      </c>
      <c r="R78" s="193">
        <f t="shared" si="9"/>
        <v>7.0099663372615444</v>
      </c>
    </row>
    <row r="79" spans="1:18" s="211" customFormat="1" x14ac:dyDescent="0.2">
      <c r="A79" s="149">
        <v>12</v>
      </c>
      <c r="B79" s="209">
        <f t="shared" si="4"/>
        <v>44531</v>
      </c>
      <c r="C79" s="212">
        <f t="shared" si="21"/>
        <v>44566</v>
      </c>
      <c r="D79" s="212">
        <f t="shared" si="21"/>
        <v>44585</v>
      </c>
      <c r="E79" s="213" t="s">
        <v>85</v>
      </c>
      <c r="F79" s="160">
        <v>9</v>
      </c>
      <c r="G79" s="187">
        <v>31</v>
      </c>
      <c r="H79" s="199">
        <f t="shared" si="5"/>
        <v>1.1251790663222052</v>
      </c>
      <c r="I79" s="199">
        <f t="shared" si="20"/>
        <v>1.3376212393608571</v>
      </c>
      <c r="J79" s="200">
        <f t="shared" si="2"/>
        <v>41.46625842018657</v>
      </c>
      <c r="K79" s="201">
        <f>+$G79*H79</f>
        <v>34.880551055988363</v>
      </c>
      <c r="L79" s="202">
        <f t="shared" si="22"/>
        <v>6.5857073641982069</v>
      </c>
      <c r="M79" s="192">
        <f t="shared" si="7"/>
        <v>0.20519752502391295</v>
      </c>
      <c r="N79" s="193">
        <f t="shared" si="8"/>
        <v>6.7909048892221202</v>
      </c>
      <c r="O79" s="192">
        <v>0</v>
      </c>
      <c r="P79" s="192">
        <v>0</v>
      </c>
      <c r="Q79" s="192">
        <v>0</v>
      </c>
      <c r="R79" s="193">
        <f t="shared" si="9"/>
        <v>6.7909048892221202</v>
      </c>
    </row>
    <row r="80" spans="1:18" s="52" customFormat="1" ht="12.75" customHeight="1" x14ac:dyDescent="0.2">
      <c r="A80" s="112">
        <v>1</v>
      </c>
      <c r="B80" s="184">
        <f t="shared" si="4"/>
        <v>44197</v>
      </c>
      <c r="C80" s="204">
        <f t="shared" ref="C80:D91" si="23">+C56</f>
        <v>44230</v>
      </c>
      <c r="D80" s="204">
        <f t="shared" si="23"/>
        <v>44251</v>
      </c>
      <c r="E80" s="186" t="s">
        <v>9</v>
      </c>
      <c r="F80" s="112">
        <v>9</v>
      </c>
      <c r="G80" s="187">
        <v>43</v>
      </c>
      <c r="H80" s="188">
        <f t="shared" si="5"/>
        <v>1.1251790663222052</v>
      </c>
      <c r="I80" s="188">
        <f t="shared" si="20"/>
        <v>1.3376212393608571</v>
      </c>
      <c r="J80" s="189">
        <f t="shared" si="2"/>
        <v>57.517713292516852</v>
      </c>
      <c r="K80" s="190">
        <f t="shared" si="11"/>
        <v>48.382699851854824</v>
      </c>
      <c r="L80" s="191">
        <f t="shared" si="19"/>
        <v>9.1350134406620285</v>
      </c>
      <c r="M80" s="192">
        <f t="shared" si="7"/>
        <v>0.28462882503316955</v>
      </c>
      <c r="N80" s="193">
        <f t="shared" si="8"/>
        <v>9.4196422656951988</v>
      </c>
      <c r="O80" s="192">
        <v>0</v>
      </c>
      <c r="P80" s="192">
        <v>0</v>
      </c>
      <c r="Q80" s="192">
        <v>0</v>
      </c>
      <c r="R80" s="193">
        <f t="shared" si="9"/>
        <v>9.4196422656951988</v>
      </c>
    </row>
    <row r="81" spans="1:18" x14ac:dyDescent="0.2">
      <c r="A81" s="149">
        <v>2</v>
      </c>
      <c r="B81" s="184">
        <f t="shared" si="4"/>
        <v>44228</v>
      </c>
      <c r="C81" s="207">
        <f t="shared" si="23"/>
        <v>44258</v>
      </c>
      <c r="D81" s="207">
        <f t="shared" si="23"/>
        <v>44279</v>
      </c>
      <c r="E81" s="194" t="s">
        <v>9</v>
      </c>
      <c r="F81" s="149">
        <v>9</v>
      </c>
      <c r="G81" s="187">
        <v>48</v>
      </c>
      <c r="H81" s="188">
        <f t="shared" si="5"/>
        <v>1.1251790663222052</v>
      </c>
      <c r="I81" s="188">
        <f t="shared" si="20"/>
        <v>1.3376212393608571</v>
      </c>
      <c r="J81" s="189">
        <f t="shared" si="2"/>
        <v>64.205819489321144</v>
      </c>
      <c r="K81" s="190">
        <f t="shared" si="11"/>
        <v>54.00859518346585</v>
      </c>
      <c r="L81" s="191">
        <f t="shared" si="19"/>
        <v>10.197224305855293</v>
      </c>
      <c r="M81" s="192">
        <f t="shared" si="7"/>
        <v>0.31772520003702648</v>
      </c>
      <c r="N81" s="193">
        <f t="shared" si="8"/>
        <v>10.51494950589232</v>
      </c>
      <c r="O81" s="192">
        <v>0</v>
      </c>
      <c r="P81" s="192">
        <v>0</v>
      </c>
      <c r="Q81" s="192">
        <v>0</v>
      </c>
      <c r="R81" s="193">
        <f t="shared" si="9"/>
        <v>10.51494950589232</v>
      </c>
    </row>
    <row r="82" spans="1:18" x14ac:dyDescent="0.2">
      <c r="A82" s="149">
        <v>3</v>
      </c>
      <c r="B82" s="184">
        <f t="shared" si="4"/>
        <v>44256</v>
      </c>
      <c r="C82" s="207">
        <f t="shared" si="23"/>
        <v>44291</v>
      </c>
      <c r="D82" s="207">
        <f t="shared" si="23"/>
        <v>44312</v>
      </c>
      <c r="E82" s="194" t="s">
        <v>9</v>
      </c>
      <c r="F82" s="149">
        <v>9</v>
      </c>
      <c r="G82" s="187">
        <v>35</v>
      </c>
      <c r="H82" s="188">
        <f t="shared" si="5"/>
        <v>1.1251790663222052</v>
      </c>
      <c r="I82" s="188">
        <f t="shared" si="20"/>
        <v>1.3376212393608571</v>
      </c>
      <c r="J82" s="189">
        <f t="shared" si="2"/>
        <v>46.816743377629997</v>
      </c>
      <c r="K82" s="190">
        <f t="shared" si="11"/>
        <v>39.381267321277186</v>
      </c>
      <c r="L82" s="191">
        <f>+J82-K82</f>
        <v>7.4354760563528117</v>
      </c>
      <c r="M82" s="192">
        <f t="shared" si="7"/>
        <v>0.23167462502699851</v>
      </c>
      <c r="N82" s="193">
        <f t="shared" si="8"/>
        <v>7.6671506813798098</v>
      </c>
      <c r="O82" s="192">
        <v>0</v>
      </c>
      <c r="P82" s="192">
        <v>0</v>
      </c>
      <c r="Q82" s="192">
        <v>0</v>
      </c>
      <c r="R82" s="193">
        <f t="shared" si="9"/>
        <v>7.6671506813798098</v>
      </c>
    </row>
    <row r="83" spans="1:18" ht="12" customHeight="1" x14ac:dyDescent="0.2">
      <c r="A83" s="112">
        <v>4</v>
      </c>
      <c r="B83" s="184">
        <f t="shared" si="4"/>
        <v>44287</v>
      </c>
      <c r="C83" s="207">
        <f t="shared" si="23"/>
        <v>44321</v>
      </c>
      <c r="D83" s="207">
        <f t="shared" si="23"/>
        <v>44340</v>
      </c>
      <c r="E83" s="54" t="s">
        <v>9</v>
      </c>
      <c r="F83" s="149">
        <v>9</v>
      </c>
      <c r="G83" s="187">
        <v>29</v>
      </c>
      <c r="H83" s="188">
        <f t="shared" si="5"/>
        <v>1.1251790663222052</v>
      </c>
      <c r="I83" s="188">
        <f t="shared" si="20"/>
        <v>1.3376212393608571</v>
      </c>
      <c r="J83" s="189">
        <f t="shared" si="2"/>
        <v>38.791015941464856</v>
      </c>
      <c r="K83" s="190">
        <f t="shared" si="11"/>
        <v>32.630192923343948</v>
      </c>
      <c r="L83" s="191">
        <f t="shared" ref="L83:L93" si="24">+J83-K83</f>
        <v>6.160823018120908</v>
      </c>
      <c r="M83" s="192">
        <f t="shared" si="7"/>
        <v>0.19195897502237019</v>
      </c>
      <c r="N83" s="193">
        <f t="shared" si="8"/>
        <v>6.3527819931432781</v>
      </c>
      <c r="O83" s="192">
        <v>0</v>
      </c>
      <c r="P83" s="192">
        <v>0</v>
      </c>
      <c r="Q83" s="192">
        <v>0</v>
      </c>
      <c r="R83" s="193">
        <f t="shared" si="9"/>
        <v>6.3527819931432781</v>
      </c>
    </row>
    <row r="84" spans="1:18" ht="12" customHeight="1" x14ac:dyDescent="0.2">
      <c r="A84" s="149">
        <v>5</v>
      </c>
      <c r="B84" s="184">
        <f t="shared" si="4"/>
        <v>44317</v>
      </c>
      <c r="C84" s="207">
        <f t="shared" si="23"/>
        <v>44350</v>
      </c>
      <c r="D84" s="207">
        <f t="shared" si="23"/>
        <v>44371</v>
      </c>
      <c r="E84" s="54" t="s">
        <v>9</v>
      </c>
      <c r="F84" s="149">
        <v>9</v>
      </c>
      <c r="G84" s="187">
        <v>34</v>
      </c>
      <c r="H84" s="188">
        <f t="shared" si="5"/>
        <v>1.1251790663222052</v>
      </c>
      <c r="I84" s="188">
        <f t="shared" si="20"/>
        <v>1.3376212393608571</v>
      </c>
      <c r="J84" s="189">
        <f t="shared" si="2"/>
        <v>45.47912213826914</v>
      </c>
      <c r="K84" s="190">
        <f t="shared" si="11"/>
        <v>38.256088254954975</v>
      </c>
      <c r="L84" s="191">
        <f t="shared" si="24"/>
        <v>7.2230338833141658</v>
      </c>
      <c r="M84" s="192">
        <f t="shared" si="7"/>
        <v>0.22505535002622712</v>
      </c>
      <c r="N84" s="193">
        <f t="shared" si="8"/>
        <v>7.4480892333403927</v>
      </c>
      <c r="O84" s="192">
        <v>0</v>
      </c>
      <c r="P84" s="192">
        <v>0</v>
      </c>
      <c r="Q84" s="192">
        <v>0</v>
      </c>
      <c r="R84" s="193">
        <f t="shared" si="9"/>
        <v>7.4480892333403927</v>
      </c>
    </row>
    <row r="85" spans="1:18" x14ac:dyDescent="0.2">
      <c r="A85" s="149">
        <v>6</v>
      </c>
      <c r="B85" s="184">
        <f t="shared" si="4"/>
        <v>44348</v>
      </c>
      <c r="C85" s="207">
        <f t="shared" si="23"/>
        <v>44383</v>
      </c>
      <c r="D85" s="207">
        <f t="shared" si="23"/>
        <v>44401</v>
      </c>
      <c r="E85" s="54" t="s">
        <v>9</v>
      </c>
      <c r="F85" s="149">
        <v>9</v>
      </c>
      <c r="G85" s="187">
        <v>45</v>
      </c>
      <c r="H85" s="188">
        <f t="shared" ref="H85:H148" si="25">+$K$3</f>
        <v>1.1251790663222052</v>
      </c>
      <c r="I85" s="188">
        <f t="shared" si="20"/>
        <v>1.3376212393608571</v>
      </c>
      <c r="J85" s="189">
        <f t="shared" si="2"/>
        <v>60.192955771238566</v>
      </c>
      <c r="K85" s="190">
        <f t="shared" si="11"/>
        <v>50.633057984499231</v>
      </c>
      <c r="L85" s="195">
        <f t="shared" si="24"/>
        <v>9.5598977867393344</v>
      </c>
      <c r="M85" s="192">
        <f t="shared" ref="M85:M148" si="26">G85/$G$212*$M$14</f>
        <v>0.29786737503471233</v>
      </c>
      <c r="N85" s="193">
        <f t="shared" ref="N85:N148" si="27">SUM(L85:M85)</f>
        <v>9.8577651617740472</v>
      </c>
      <c r="O85" s="192">
        <v>0</v>
      </c>
      <c r="P85" s="192">
        <v>0</v>
      </c>
      <c r="Q85" s="192">
        <v>0</v>
      </c>
      <c r="R85" s="193">
        <f t="shared" ref="R85:R148" si="28">+N85-Q85</f>
        <v>9.8577651617740472</v>
      </c>
    </row>
    <row r="86" spans="1:18" x14ac:dyDescent="0.2">
      <c r="A86" s="112">
        <v>7</v>
      </c>
      <c r="B86" s="184">
        <f t="shared" si="4"/>
        <v>44378</v>
      </c>
      <c r="C86" s="207">
        <f t="shared" si="23"/>
        <v>44412</v>
      </c>
      <c r="D86" s="207">
        <f t="shared" si="23"/>
        <v>44432</v>
      </c>
      <c r="E86" s="54" t="s">
        <v>9</v>
      </c>
      <c r="F86" s="149">
        <v>9</v>
      </c>
      <c r="G86" s="187">
        <v>48</v>
      </c>
      <c r="H86" s="188">
        <f t="shared" si="25"/>
        <v>1.1251790663222052</v>
      </c>
      <c r="I86" s="188">
        <f t="shared" si="20"/>
        <v>1.3376212393608571</v>
      </c>
      <c r="J86" s="189">
        <f t="shared" si="2"/>
        <v>64.205819489321144</v>
      </c>
      <c r="K86" s="196">
        <f t="shared" si="11"/>
        <v>54.00859518346585</v>
      </c>
      <c r="L86" s="195">
        <f t="shared" si="24"/>
        <v>10.197224305855293</v>
      </c>
      <c r="M86" s="192">
        <f t="shared" si="26"/>
        <v>0.31772520003702648</v>
      </c>
      <c r="N86" s="193">
        <f t="shared" si="27"/>
        <v>10.51494950589232</v>
      </c>
      <c r="O86" s="192">
        <v>0</v>
      </c>
      <c r="P86" s="192">
        <v>0</v>
      </c>
      <c r="Q86" s="192">
        <v>0</v>
      </c>
      <c r="R86" s="193">
        <f t="shared" si="28"/>
        <v>10.51494950589232</v>
      </c>
    </row>
    <row r="87" spans="1:18" x14ac:dyDescent="0.2">
      <c r="A87" s="149">
        <v>8</v>
      </c>
      <c r="B87" s="184">
        <f t="shared" si="4"/>
        <v>44409</v>
      </c>
      <c r="C87" s="207">
        <f t="shared" si="23"/>
        <v>44442</v>
      </c>
      <c r="D87" s="207">
        <f t="shared" si="23"/>
        <v>44463</v>
      </c>
      <c r="E87" s="54" t="s">
        <v>9</v>
      </c>
      <c r="F87" s="149">
        <v>9</v>
      </c>
      <c r="G87" s="187">
        <v>46</v>
      </c>
      <c r="H87" s="188">
        <f t="shared" si="25"/>
        <v>1.1251790663222052</v>
      </c>
      <c r="I87" s="188">
        <f t="shared" si="20"/>
        <v>1.3376212393608571</v>
      </c>
      <c r="J87" s="189">
        <f t="shared" si="2"/>
        <v>61.530577010599423</v>
      </c>
      <c r="K87" s="196">
        <f t="shared" si="11"/>
        <v>51.758237050821442</v>
      </c>
      <c r="L87" s="195">
        <f t="shared" si="24"/>
        <v>9.7723399597779803</v>
      </c>
      <c r="M87" s="192">
        <f t="shared" si="26"/>
        <v>0.30448665003548375</v>
      </c>
      <c r="N87" s="193">
        <f t="shared" si="27"/>
        <v>10.076826609813464</v>
      </c>
      <c r="O87" s="192">
        <v>0</v>
      </c>
      <c r="P87" s="192">
        <v>0</v>
      </c>
      <c r="Q87" s="192">
        <v>0</v>
      </c>
      <c r="R87" s="193">
        <f t="shared" si="28"/>
        <v>10.076826609813464</v>
      </c>
    </row>
    <row r="88" spans="1:18" x14ac:dyDescent="0.2">
      <c r="A88" s="149">
        <v>9</v>
      </c>
      <c r="B88" s="184">
        <f t="shared" si="4"/>
        <v>44440</v>
      </c>
      <c r="C88" s="207">
        <f t="shared" si="23"/>
        <v>44474</v>
      </c>
      <c r="D88" s="207">
        <f t="shared" si="23"/>
        <v>44494</v>
      </c>
      <c r="E88" s="54" t="s">
        <v>9</v>
      </c>
      <c r="F88" s="149">
        <v>9</v>
      </c>
      <c r="G88" s="187">
        <v>46</v>
      </c>
      <c r="H88" s="188">
        <f t="shared" si="25"/>
        <v>1.1251790663222052</v>
      </c>
      <c r="I88" s="188">
        <f t="shared" si="20"/>
        <v>1.3376212393608571</v>
      </c>
      <c r="J88" s="189">
        <f t="shared" si="2"/>
        <v>61.530577010599423</v>
      </c>
      <c r="K88" s="196">
        <f t="shared" si="11"/>
        <v>51.758237050821442</v>
      </c>
      <c r="L88" s="195">
        <f t="shared" si="24"/>
        <v>9.7723399597779803</v>
      </c>
      <c r="M88" s="192">
        <f t="shared" si="26"/>
        <v>0.30448665003548375</v>
      </c>
      <c r="N88" s="193">
        <f t="shared" si="27"/>
        <v>10.076826609813464</v>
      </c>
      <c r="O88" s="192">
        <v>0</v>
      </c>
      <c r="P88" s="192">
        <v>0</v>
      </c>
      <c r="Q88" s="192">
        <v>0</v>
      </c>
      <c r="R88" s="193">
        <f t="shared" si="28"/>
        <v>10.076826609813464</v>
      </c>
    </row>
    <row r="89" spans="1:18" x14ac:dyDescent="0.2">
      <c r="A89" s="112">
        <v>10</v>
      </c>
      <c r="B89" s="184">
        <f t="shared" si="4"/>
        <v>44470</v>
      </c>
      <c r="C89" s="207">
        <f t="shared" si="23"/>
        <v>44503</v>
      </c>
      <c r="D89" s="207">
        <f t="shared" si="23"/>
        <v>44524</v>
      </c>
      <c r="E89" s="54" t="s">
        <v>9</v>
      </c>
      <c r="F89" s="149">
        <v>9</v>
      </c>
      <c r="G89" s="187">
        <v>41</v>
      </c>
      <c r="H89" s="188">
        <f t="shared" si="25"/>
        <v>1.1251790663222052</v>
      </c>
      <c r="I89" s="188">
        <f t="shared" si="20"/>
        <v>1.3376212393608571</v>
      </c>
      <c r="J89" s="189">
        <f t="shared" si="2"/>
        <v>54.842470813795138</v>
      </c>
      <c r="K89" s="196">
        <f t="shared" si="11"/>
        <v>46.132341719210416</v>
      </c>
      <c r="L89" s="195">
        <f t="shared" si="24"/>
        <v>8.7101290945847225</v>
      </c>
      <c r="M89" s="192">
        <f t="shared" si="26"/>
        <v>0.27139027503162677</v>
      </c>
      <c r="N89" s="193">
        <f t="shared" si="27"/>
        <v>8.9815193696163487</v>
      </c>
      <c r="O89" s="192">
        <v>0</v>
      </c>
      <c r="P89" s="192">
        <v>0</v>
      </c>
      <c r="Q89" s="192">
        <v>0</v>
      </c>
      <c r="R89" s="193">
        <f t="shared" si="28"/>
        <v>8.9815193696163487</v>
      </c>
    </row>
    <row r="90" spans="1:18" x14ac:dyDescent="0.2">
      <c r="A90" s="149">
        <v>11</v>
      </c>
      <c r="B90" s="184">
        <f t="shared" si="4"/>
        <v>44501</v>
      </c>
      <c r="C90" s="207">
        <f t="shared" si="23"/>
        <v>44533</v>
      </c>
      <c r="D90" s="207">
        <f t="shared" si="23"/>
        <v>44557</v>
      </c>
      <c r="E90" s="54" t="s">
        <v>9</v>
      </c>
      <c r="F90" s="149">
        <v>9</v>
      </c>
      <c r="G90" s="187">
        <v>40</v>
      </c>
      <c r="H90" s="188">
        <f t="shared" si="25"/>
        <v>1.1251790663222052</v>
      </c>
      <c r="I90" s="188">
        <f t="shared" si="20"/>
        <v>1.3376212393608571</v>
      </c>
      <c r="J90" s="189">
        <f t="shared" si="2"/>
        <v>53.504849574434282</v>
      </c>
      <c r="K90" s="196">
        <f t="shared" si="11"/>
        <v>45.007162652888212</v>
      </c>
      <c r="L90" s="195">
        <f t="shared" si="24"/>
        <v>8.4976869215460695</v>
      </c>
      <c r="M90" s="192">
        <f t="shared" si="26"/>
        <v>0.26477100003085541</v>
      </c>
      <c r="N90" s="193">
        <f t="shared" si="27"/>
        <v>8.7624579215769245</v>
      </c>
      <c r="O90" s="192">
        <v>0</v>
      </c>
      <c r="P90" s="192">
        <v>0</v>
      </c>
      <c r="Q90" s="192">
        <v>0</v>
      </c>
      <c r="R90" s="193">
        <f t="shared" si="28"/>
        <v>8.7624579215769245</v>
      </c>
    </row>
    <row r="91" spans="1:18" s="211" customFormat="1" x14ac:dyDescent="0.2">
      <c r="A91" s="149">
        <v>12</v>
      </c>
      <c r="B91" s="209">
        <f t="shared" si="4"/>
        <v>44531</v>
      </c>
      <c r="C91" s="207">
        <f t="shared" si="23"/>
        <v>44566</v>
      </c>
      <c r="D91" s="207">
        <f t="shared" si="23"/>
        <v>44585</v>
      </c>
      <c r="E91" s="210" t="s">
        <v>9</v>
      </c>
      <c r="F91" s="160">
        <v>9</v>
      </c>
      <c r="G91" s="187">
        <v>39</v>
      </c>
      <c r="H91" s="199">
        <f t="shared" si="25"/>
        <v>1.1251790663222052</v>
      </c>
      <c r="I91" s="199">
        <f t="shared" si="20"/>
        <v>1.3376212393608571</v>
      </c>
      <c r="J91" s="200">
        <f t="shared" si="2"/>
        <v>52.167228335073425</v>
      </c>
      <c r="K91" s="201">
        <f t="shared" si="11"/>
        <v>43.881983586566001</v>
      </c>
      <c r="L91" s="202">
        <f t="shared" si="24"/>
        <v>8.2852447485074237</v>
      </c>
      <c r="M91" s="192">
        <f t="shared" si="26"/>
        <v>0.25815172503008404</v>
      </c>
      <c r="N91" s="193">
        <f t="shared" si="27"/>
        <v>8.5433964735375074</v>
      </c>
      <c r="O91" s="192">
        <v>0</v>
      </c>
      <c r="P91" s="192">
        <v>0</v>
      </c>
      <c r="Q91" s="192">
        <v>0</v>
      </c>
      <c r="R91" s="193">
        <f t="shared" si="28"/>
        <v>8.5433964735375074</v>
      </c>
    </row>
    <row r="92" spans="1:18" x14ac:dyDescent="0.2">
      <c r="A92" s="112">
        <v>1</v>
      </c>
      <c r="B92" s="184">
        <f t="shared" si="4"/>
        <v>44197</v>
      </c>
      <c r="C92" s="204">
        <f t="shared" ref="C92:D95" si="29">+C80</f>
        <v>44230</v>
      </c>
      <c r="D92" s="204">
        <f t="shared" si="29"/>
        <v>44251</v>
      </c>
      <c r="E92" s="186" t="s">
        <v>8</v>
      </c>
      <c r="F92" s="112">
        <v>9</v>
      </c>
      <c r="G92" s="187">
        <v>76</v>
      </c>
      <c r="H92" s="188">
        <f t="shared" si="25"/>
        <v>1.1251790663222052</v>
      </c>
      <c r="I92" s="188">
        <f t="shared" si="20"/>
        <v>1.3376212393608571</v>
      </c>
      <c r="J92" s="189">
        <f t="shared" si="2"/>
        <v>101.65921419142514</v>
      </c>
      <c r="K92" s="190">
        <f t="shared" si="11"/>
        <v>85.513609040487594</v>
      </c>
      <c r="L92" s="191">
        <f t="shared" si="24"/>
        <v>16.145605150937541</v>
      </c>
      <c r="M92" s="192">
        <f t="shared" si="26"/>
        <v>0.50306490005862525</v>
      </c>
      <c r="N92" s="193">
        <f t="shared" si="27"/>
        <v>16.648670050996166</v>
      </c>
      <c r="O92" s="192">
        <v>0</v>
      </c>
      <c r="P92" s="192">
        <v>0</v>
      </c>
      <c r="Q92" s="192">
        <v>0</v>
      </c>
      <c r="R92" s="193">
        <f t="shared" si="28"/>
        <v>16.648670050996166</v>
      </c>
    </row>
    <row r="93" spans="1:18" x14ac:dyDescent="0.2">
      <c r="A93" s="149">
        <v>2</v>
      </c>
      <c r="B93" s="184">
        <f t="shared" si="4"/>
        <v>44228</v>
      </c>
      <c r="C93" s="207">
        <f t="shared" si="29"/>
        <v>44258</v>
      </c>
      <c r="D93" s="207">
        <f t="shared" si="29"/>
        <v>44279</v>
      </c>
      <c r="E93" s="194" t="s">
        <v>8</v>
      </c>
      <c r="F93" s="149">
        <v>9</v>
      </c>
      <c r="G93" s="187">
        <v>99</v>
      </c>
      <c r="H93" s="188">
        <f t="shared" si="25"/>
        <v>1.1251790663222052</v>
      </c>
      <c r="I93" s="188">
        <f t="shared" si="20"/>
        <v>1.3376212393608571</v>
      </c>
      <c r="J93" s="189">
        <f t="shared" si="2"/>
        <v>132.42450269672486</v>
      </c>
      <c r="K93" s="190">
        <f t="shared" si="11"/>
        <v>111.39272756589831</v>
      </c>
      <c r="L93" s="191">
        <f t="shared" si="24"/>
        <v>21.031775130826546</v>
      </c>
      <c r="M93" s="192">
        <f t="shared" si="26"/>
        <v>0.65530822507636721</v>
      </c>
      <c r="N93" s="193">
        <f t="shared" si="27"/>
        <v>21.687083355902914</v>
      </c>
      <c r="O93" s="192">
        <v>0</v>
      </c>
      <c r="P93" s="192">
        <v>0</v>
      </c>
      <c r="Q93" s="192">
        <v>0</v>
      </c>
      <c r="R93" s="193">
        <f t="shared" si="28"/>
        <v>21.687083355902914</v>
      </c>
    </row>
    <row r="94" spans="1:18" x14ac:dyDescent="0.2">
      <c r="A94" s="149">
        <v>3</v>
      </c>
      <c r="B94" s="184">
        <f t="shared" si="4"/>
        <v>44256</v>
      </c>
      <c r="C94" s="207">
        <f t="shared" si="29"/>
        <v>44291</v>
      </c>
      <c r="D94" s="207">
        <f t="shared" si="29"/>
        <v>44312</v>
      </c>
      <c r="E94" s="194" t="s">
        <v>8</v>
      </c>
      <c r="F94" s="149">
        <v>9</v>
      </c>
      <c r="G94" s="187">
        <v>66</v>
      </c>
      <c r="H94" s="188">
        <f t="shared" si="25"/>
        <v>1.1251790663222052</v>
      </c>
      <c r="I94" s="188">
        <f t="shared" si="20"/>
        <v>1.3376212393608571</v>
      </c>
      <c r="J94" s="189">
        <f t="shared" si="2"/>
        <v>88.283001797816567</v>
      </c>
      <c r="K94" s="190">
        <f t="shared" ref="K94:K133" si="30">+$G94*H94</f>
        <v>74.261818377265541</v>
      </c>
      <c r="L94" s="191">
        <f>+J94-K94</f>
        <v>14.021183420551026</v>
      </c>
      <c r="M94" s="192">
        <f t="shared" si="26"/>
        <v>0.4368721500509114</v>
      </c>
      <c r="N94" s="193">
        <f t="shared" si="27"/>
        <v>14.458055570601937</v>
      </c>
      <c r="O94" s="192">
        <v>0</v>
      </c>
      <c r="P94" s="192">
        <v>0</v>
      </c>
      <c r="Q94" s="192">
        <v>0</v>
      </c>
      <c r="R94" s="193">
        <f t="shared" si="28"/>
        <v>14.458055570601937</v>
      </c>
    </row>
    <row r="95" spans="1:18" x14ac:dyDescent="0.2">
      <c r="A95" s="112">
        <v>4</v>
      </c>
      <c r="B95" s="184">
        <f t="shared" si="4"/>
        <v>44287</v>
      </c>
      <c r="C95" s="207">
        <f t="shared" si="29"/>
        <v>44321</v>
      </c>
      <c r="D95" s="207">
        <f t="shared" si="29"/>
        <v>44340</v>
      </c>
      <c r="E95" s="194" t="s">
        <v>8</v>
      </c>
      <c r="F95" s="149">
        <v>9</v>
      </c>
      <c r="G95" s="187">
        <v>67</v>
      </c>
      <c r="H95" s="188">
        <f t="shared" si="25"/>
        <v>1.1251790663222052</v>
      </c>
      <c r="I95" s="188">
        <f t="shared" si="20"/>
        <v>1.3376212393608571</v>
      </c>
      <c r="J95" s="189">
        <f t="shared" si="2"/>
        <v>89.620623037177424</v>
      </c>
      <c r="K95" s="190">
        <f t="shared" si="30"/>
        <v>75.386997443587745</v>
      </c>
      <c r="L95" s="191">
        <f t="shared" ref="L95:L105" si="31">+J95-K95</f>
        <v>14.233625593589679</v>
      </c>
      <c r="M95" s="192">
        <f t="shared" si="26"/>
        <v>0.44349142505168282</v>
      </c>
      <c r="N95" s="193">
        <f t="shared" si="27"/>
        <v>14.677117018641361</v>
      </c>
      <c r="O95" s="192">
        <v>0</v>
      </c>
      <c r="P95" s="192">
        <v>0</v>
      </c>
      <c r="Q95" s="192">
        <v>0</v>
      </c>
      <c r="R95" s="193">
        <f t="shared" si="28"/>
        <v>14.677117018641361</v>
      </c>
    </row>
    <row r="96" spans="1:18" x14ac:dyDescent="0.2">
      <c r="A96" s="149">
        <v>5</v>
      </c>
      <c r="B96" s="184">
        <f t="shared" si="4"/>
        <v>44317</v>
      </c>
      <c r="C96" s="207">
        <f t="shared" ref="C96:D116" si="32">+C84</f>
        <v>44350</v>
      </c>
      <c r="D96" s="207">
        <f t="shared" si="32"/>
        <v>44371</v>
      </c>
      <c r="E96" s="54" t="s">
        <v>8</v>
      </c>
      <c r="F96" s="149">
        <v>9</v>
      </c>
      <c r="G96" s="187">
        <v>101</v>
      </c>
      <c r="H96" s="188">
        <f t="shared" si="25"/>
        <v>1.1251790663222052</v>
      </c>
      <c r="I96" s="188">
        <f t="shared" si="20"/>
        <v>1.3376212393608571</v>
      </c>
      <c r="J96" s="189">
        <f t="shared" si="2"/>
        <v>135.09974517544657</v>
      </c>
      <c r="K96" s="190">
        <f t="shared" si="30"/>
        <v>113.64308569854272</v>
      </c>
      <c r="L96" s="191">
        <f t="shared" si="31"/>
        <v>21.456659476903852</v>
      </c>
      <c r="M96" s="192">
        <f t="shared" si="26"/>
        <v>0.66854677507790994</v>
      </c>
      <c r="N96" s="193">
        <f t="shared" si="27"/>
        <v>22.125206251981762</v>
      </c>
      <c r="O96" s="192">
        <v>0</v>
      </c>
      <c r="P96" s="192">
        <v>0</v>
      </c>
      <c r="Q96" s="192">
        <v>0</v>
      </c>
      <c r="R96" s="193">
        <f t="shared" si="28"/>
        <v>22.125206251981762</v>
      </c>
    </row>
    <row r="97" spans="1:18" x14ac:dyDescent="0.2">
      <c r="A97" s="149">
        <v>6</v>
      </c>
      <c r="B97" s="184">
        <f t="shared" si="4"/>
        <v>44348</v>
      </c>
      <c r="C97" s="207">
        <f t="shared" si="32"/>
        <v>44383</v>
      </c>
      <c r="D97" s="207">
        <f t="shared" si="32"/>
        <v>44401</v>
      </c>
      <c r="E97" s="54" t="s">
        <v>8</v>
      </c>
      <c r="F97" s="149">
        <v>9</v>
      </c>
      <c r="G97" s="187">
        <v>141</v>
      </c>
      <c r="H97" s="188">
        <f t="shared" si="25"/>
        <v>1.1251790663222052</v>
      </c>
      <c r="I97" s="188">
        <f t="shared" si="20"/>
        <v>1.3376212393608571</v>
      </c>
      <c r="J97" s="189">
        <f t="shared" si="2"/>
        <v>188.60459474988085</v>
      </c>
      <c r="K97" s="190">
        <f t="shared" si="30"/>
        <v>158.65024835143095</v>
      </c>
      <c r="L97" s="195">
        <f t="shared" si="31"/>
        <v>29.9543463984499</v>
      </c>
      <c r="M97" s="192">
        <f t="shared" si="26"/>
        <v>0.93331777510876546</v>
      </c>
      <c r="N97" s="193">
        <f t="shared" si="27"/>
        <v>30.887664173558665</v>
      </c>
      <c r="O97" s="192">
        <v>0</v>
      </c>
      <c r="P97" s="192">
        <v>0</v>
      </c>
      <c r="Q97" s="192">
        <v>0</v>
      </c>
      <c r="R97" s="193">
        <f t="shared" si="28"/>
        <v>30.887664173558665</v>
      </c>
    </row>
    <row r="98" spans="1:18" x14ac:dyDescent="0.2">
      <c r="A98" s="112">
        <v>7</v>
      </c>
      <c r="B98" s="184">
        <f t="shared" si="4"/>
        <v>44378</v>
      </c>
      <c r="C98" s="207">
        <f t="shared" si="32"/>
        <v>44412</v>
      </c>
      <c r="D98" s="207">
        <f t="shared" si="32"/>
        <v>44432</v>
      </c>
      <c r="E98" s="54" t="s">
        <v>8</v>
      </c>
      <c r="F98" s="149">
        <v>9</v>
      </c>
      <c r="G98" s="187">
        <v>145</v>
      </c>
      <c r="H98" s="188">
        <f t="shared" si="25"/>
        <v>1.1251790663222052</v>
      </c>
      <c r="I98" s="188">
        <f t="shared" si="20"/>
        <v>1.3376212393608571</v>
      </c>
      <c r="J98" s="189">
        <f t="shared" si="2"/>
        <v>193.95507970732427</v>
      </c>
      <c r="K98" s="196">
        <f t="shared" si="30"/>
        <v>163.15096461671976</v>
      </c>
      <c r="L98" s="195">
        <f t="shared" si="31"/>
        <v>30.804115090604512</v>
      </c>
      <c r="M98" s="192">
        <f t="shared" si="26"/>
        <v>0.95979487511185091</v>
      </c>
      <c r="N98" s="193">
        <f t="shared" si="27"/>
        <v>31.763909965716362</v>
      </c>
      <c r="O98" s="192">
        <v>0</v>
      </c>
      <c r="P98" s="192">
        <v>0</v>
      </c>
      <c r="Q98" s="192">
        <v>0</v>
      </c>
      <c r="R98" s="193">
        <f t="shared" si="28"/>
        <v>31.763909965716362</v>
      </c>
    </row>
    <row r="99" spans="1:18" x14ac:dyDescent="0.2">
      <c r="A99" s="149">
        <v>8</v>
      </c>
      <c r="B99" s="184">
        <f t="shared" si="4"/>
        <v>44409</v>
      </c>
      <c r="C99" s="207">
        <f t="shared" si="32"/>
        <v>44442</v>
      </c>
      <c r="D99" s="207">
        <f t="shared" si="32"/>
        <v>44463</v>
      </c>
      <c r="E99" s="54" t="s">
        <v>8</v>
      </c>
      <c r="F99" s="149">
        <v>9</v>
      </c>
      <c r="G99" s="187">
        <v>149</v>
      </c>
      <c r="H99" s="188">
        <f t="shared" si="25"/>
        <v>1.1251790663222052</v>
      </c>
      <c r="I99" s="188">
        <f t="shared" si="20"/>
        <v>1.3376212393608571</v>
      </c>
      <c r="J99" s="189">
        <f t="shared" si="2"/>
        <v>199.3055646647677</v>
      </c>
      <c r="K99" s="196">
        <f t="shared" si="30"/>
        <v>167.65168088200858</v>
      </c>
      <c r="L99" s="195">
        <f t="shared" si="31"/>
        <v>31.653883782759124</v>
      </c>
      <c r="M99" s="192">
        <f t="shared" si="26"/>
        <v>0.98627197511493647</v>
      </c>
      <c r="N99" s="193">
        <f t="shared" si="27"/>
        <v>32.640155757874062</v>
      </c>
      <c r="O99" s="192">
        <v>0</v>
      </c>
      <c r="P99" s="192">
        <v>0</v>
      </c>
      <c r="Q99" s="192">
        <v>0</v>
      </c>
      <c r="R99" s="193">
        <f t="shared" si="28"/>
        <v>32.640155757874062</v>
      </c>
    </row>
    <row r="100" spans="1:18" x14ac:dyDescent="0.2">
      <c r="A100" s="149">
        <v>9</v>
      </c>
      <c r="B100" s="184">
        <f t="shared" si="4"/>
        <v>44440</v>
      </c>
      <c r="C100" s="207">
        <f t="shared" si="32"/>
        <v>44474</v>
      </c>
      <c r="D100" s="207">
        <f t="shared" si="32"/>
        <v>44494</v>
      </c>
      <c r="E100" s="54" t="s">
        <v>8</v>
      </c>
      <c r="F100" s="149">
        <v>9</v>
      </c>
      <c r="G100" s="187">
        <v>150</v>
      </c>
      <c r="H100" s="188">
        <f t="shared" si="25"/>
        <v>1.1251790663222052</v>
      </c>
      <c r="I100" s="188">
        <f t="shared" si="20"/>
        <v>1.3376212393608571</v>
      </c>
      <c r="J100" s="189">
        <f t="shared" si="2"/>
        <v>200.64318590412856</v>
      </c>
      <c r="K100" s="196">
        <f t="shared" si="30"/>
        <v>168.77685994833078</v>
      </c>
      <c r="L100" s="195">
        <f t="shared" si="31"/>
        <v>31.866325955797777</v>
      </c>
      <c r="M100" s="192">
        <f t="shared" si="26"/>
        <v>0.99289125011570789</v>
      </c>
      <c r="N100" s="193">
        <f t="shared" si="27"/>
        <v>32.859217205913481</v>
      </c>
      <c r="O100" s="192">
        <v>0</v>
      </c>
      <c r="P100" s="192">
        <v>0</v>
      </c>
      <c r="Q100" s="192">
        <v>0</v>
      </c>
      <c r="R100" s="193">
        <f t="shared" si="28"/>
        <v>32.859217205913481</v>
      </c>
    </row>
    <row r="101" spans="1:18" x14ac:dyDescent="0.2">
      <c r="A101" s="112">
        <v>10</v>
      </c>
      <c r="B101" s="184">
        <f t="shared" si="4"/>
        <v>44470</v>
      </c>
      <c r="C101" s="207">
        <f t="shared" si="32"/>
        <v>44503</v>
      </c>
      <c r="D101" s="207">
        <f t="shared" si="32"/>
        <v>44524</v>
      </c>
      <c r="E101" s="54" t="s">
        <v>8</v>
      </c>
      <c r="F101" s="149">
        <v>9</v>
      </c>
      <c r="G101" s="187">
        <v>114</v>
      </c>
      <c r="H101" s="188">
        <f t="shared" si="25"/>
        <v>1.1251790663222052</v>
      </c>
      <c r="I101" s="188">
        <f t="shared" si="20"/>
        <v>1.3376212393608571</v>
      </c>
      <c r="J101" s="189">
        <f t="shared" si="2"/>
        <v>152.48882128713771</v>
      </c>
      <c r="K101" s="196">
        <f t="shared" si="30"/>
        <v>128.27041356073138</v>
      </c>
      <c r="L101" s="195">
        <f t="shared" si="31"/>
        <v>24.218407726406326</v>
      </c>
      <c r="M101" s="192">
        <f t="shared" si="26"/>
        <v>0.75459735008793793</v>
      </c>
      <c r="N101" s="193">
        <f t="shared" si="27"/>
        <v>24.973005076494264</v>
      </c>
      <c r="O101" s="192">
        <v>0</v>
      </c>
      <c r="P101" s="192">
        <v>0</v>
      </c>
      <c r="Q101" s="192">
        <v>0</v>
      </c>
      <c r="R101" s="193">
        <f t="shared" si="28"/>
        <v>24.973005076494264</v>
      </c>
    </row>
    <row r="102" spans="1:18" x14ac:dyDescent="0.2">
      <c r="A102" s="149">
        <v>11</v>
      </c>
      <c r="B102" s="184">
        <f t="shared" si="4"/>
        <v>44501</v>
      </c>
      <c r="C102" s="207">
        <f t="shared" si="32"/>
        <v>44533</v>
      </c>
      <c r="D102" s="207">
        <f t="shared" si="32"/>
        <v>44557</v>
      </c>
      <c r="E102" s="54" t="s">
        <v>8</v>
      </c>
      <c r="F102" s="149">
        <v>9</v>
      </c>
      <c r="G102" s="187">
        <v>66</v>
      </c>
      <c r="H102" s="188">
        <f t="shared" si="25"/>
        <v>1.1251790663222052</v>
      </c>
      <c r="I102" s="188">
        <f t="shared" si="20"/>
        <v>1.3376212393608571</v>
      </c>
      <c r="J102" s="189">
        <f t="shared" si="2"/>
        <v>88.283001797816567</v>
      </c>
      <c r="K102" s="196">
        <f t="shared" si="30"/>
        <v>74.261818377265541</v>
      </c>
      <c r="L102" s="195">
        <f t="shared" si="31"/>
        <v>14.021183420551026</v>
      </c>
      <c r="M102" s="192">
        <f t="shared" si="26"/>
        <v>0.4368721500509114</v>
      </c>
      <c r="N102" s="193">
        <f t="shared" si="27"/>
        <v>14.458055570601937</v>
      </c>
      <c r="O102" s="192">
        <v>0</v>
      </c>
      <c r="P102" s="192">
        <v>0</v>
      </c>
      <c r="Q102" s="192">
        <v>0</v>
      </c>
      <c r="R102" s="193">
        <f t="shared" si="28"/>
        <v>14.458055570601937</v>
      </c>
    </row>
    <row r="103" spans="1:18" s="211" customFormat="1" x14ac:dyDescent="0.2">
      <c r="A103" s="149">
        <v>12</v>
      </c>
      <c r="B103" s="209">
        <f t="shared" si="4"/>
        <v>44531</v>
      </c>
      <c r="C103" s="207">
        <f t="shared" si="32"/>
        <v>44566</v>
      </c>
      <c r="D103" s="207">
        <f t="shared" si="32"/>
        <v>44585</v>
      </c>
      <c r="E103" s="210" t="s">
        <v>8</v>
      </c>
      <c r="F103" s="160">
        <v>9</v>
      </c>
      <c r="G103" s="187">
        <v>72</v>
      </c>
      <c r="H103" s="199">
        <f t="shared" si="25"/>
        <v>1.1251790663222052</v>
      </c>
      <c r="I103" s="199">
        <f t="shared" si="20"/>
        <v>1.3376212393608571</v>
      </c>
      <c r="J103" s="200">
        <f t="shared" si="2"/>
        <v>96.308729233981708</v>
      </c>
      <c r="K103" s="201">
        <f t="shared" si="30"/>
        <v>81.012892775198779</v>
      </c>
      <c r="L103" s="202">
        <f t="shared" si="31"/>
        <v>15.295836458782929</v>
      </c>
      <c r="M103" s="192">
        <f t="shared" si="26"/>
        <v>0.4765878000555398</v>
      </c>
      <c r="N103" s="193">
        <f t="shared" si="27"/>
        <v>15.77242425883847</v>
      </c>
      <c r="O103" s="192">
        <v>0</v>
      </c>
      <c r="P103" s="192">
        <v>0</v>
      </c>
      <c r="Q103" s="192">
        <v>0</v>
      </c>
      <c r="R103" s="193">
        <f t="shared" si="28"/>
        <v>15.77242425883847</v>
      </c>
    </row>
    <row r="104" spans="1:18" x14ac:dyDescent="0.2">
      <c r="A104" s="112">
        <v>1</v>
      </c>
      <c r="B104" s="184">
        <f t="shared" si="4"/>
        <v>44197</v>
      </c>
      <c r="C104" s="204">
        <f t="shared" si="32"/>
        <v>44230</v>
      </c>
      <c r="D104" s="204">
        <f t="shared" si="32"/>
        <v>44251</v>
      </c>
      <c r="E104" s="186" t="s">
        <v>19</v>
      </c>
      <c r="F104" s="112">
        <v>9</v>
      </c>
      <c r="G104" s="187">
        <v>37</v>
      </c>
      <c r="H104" s="188">
        <f t="shared" si="25"/>
        <v>1.1251790663222052</v>
      </c>
      <c r="I104" s="188">
        <f t="shared" si="20"/>
        <v>1.3376212393608571</v>
      </c>
      <c r="J104" s="189">
        <f t="shared" si="2"/>
        <v>49.491985856351711</v>
      </c>
      <c r="K104" s="190">
        <f t="shared" si="30"/>
        <v>41.631625453921593</v>
      </c>
      <c r="L104" s="191">
        <f t="shared" si="31"/>
        <v>7.8603604024301177</v>
      </c>
      <c r="M104" s="192">
        <f t="shared" si="26"/>
        <v>0.24491317502854126</v>
      </c>
      <c r="N104" s="193">
        <f t="shared" si="27"/>
        <v>8.1052735774586591</v>
      </c>
      <c r="O104" s="192">
        <v>0</v>
      </c>
      <c r="P104" s="192">
        <v>0</v>
      </c>
      <c r="Q104" s="192">
        <v>0</v>
      </c>
      <c r="R104" s="193">
        <f t="shared" si="28"/>
        <v>8.1052735774586591</v>
      </c>
    </row>
    <row r="105" spans="1:18" x14ac:dyDescent="0.2">
      <c r="A105" s="149">
        <v>2</v>
      </c>
      <c r="B105" s="184">
        <f t="shared" si="4"/>
        <v>44228</v>
      </c>
      <c r="C105" s="207">
        <f t="shared" si="32"/>
        <v>44258</v>
      </c>
      <c r="D105" s="207">
        <f t="shared" si="32"/>
        <v>44279</v>
      </c>
      <c r="E105" s="194" t="s">
        <v>19</v>
      </c>
      <c r="F105" s="149">
        <v>9</v>
      </c>
      <c r="G105" s="187">
        <v>33</v>
      </c>
      <c r="H105" s="188">
        <f t="shared" si="25"/>
        <v>1.1251790663222052</v>
      </c>
      <c r="I105" s="188">
        <f t="shared" si="20"/>
        <v>1.3376212393608571</v>
      </c>
      <c r="J105" s="189">
        <f t="shared" si="2"/>
        <v>44.141500898908284</v>
      </c>
      <c r="K105" s="190">
        <f t="shared" si="30"/>
        <v>37.130909188632771</v>
      </c>
      <c r="L105" s="191">
        <f t="shared" si="31"/>
        <v>7.0105917102755129</v>
      </c>
      <c r="M105" s="192">
        <f t="shared" si="26"/>
        <v>0.2184360750254557</v>
      </c>
      <c r="N105" s="193">
        <f t="shared" si="27"/>
        <v>7.2290277853009686</v>
      </c>
      <c r="O105" s="192">
        <v>0</v>
      </c>
      <c r="P105" s="192">
        <v>0</v>
      </c>
      <c r="Q105" s="192">
        <v>0</v>
      </c>
      <c r="R105" s="193">
        <f t="shared" si="28"/>
        <v>7.2290277853009686</v>
      </c>
    </row>
    <row r="106" spans="1:18" x14ac:dyDescent="0.2">
      <c r="A106" s="149">
        <v>3</v>
      </c>
      <c r="B106" s="184">
        <f t="shared" si="4"/>
        <v>44256</v>
      </c>
      <c r="C106" s="207">
        <f t="shared" si="32"/>
        <v>44291</v>
      </c>
      <c r="D106" s="207">
        <f t="shared" si="32"/>
        <v>44312</v>
      </c>
      <c r="E106" s="194" t="s">
        <v>19</v>
      </c>
      <c r="F106" s="149">
        <v>9</v>
      </c>
      <c r="G106" s="187">
        <v>47</v>
      </c>
      <c r="H106" s="188">
        <f t="shared" si="25"/>
        <v>1.1251790663222052</v>
      </c>
      <c r="I106" s="188">
        <f t="shared" si="20"/>
        <v>1.3376212393608571</v>
      </c>
      <c r="J106" s="189">
        <f t="shared" si="2"/>
        <v>62.86819824996028</v>
      </c>
      <c r="K106" s="190">
        <f t="shared" si="30"/>
        <v>52.883416117143646</v>
      </c>
      <c r="L106" s="191">
        <f>+J106-K106</f>
        <v>9.9847821328166333</v>
      </c>
      <c r="M106" s="192">
        <f t="shared" si="26"/>
        <v>0.31110592503625512</v>
      </c>
      <c r="N106" s="193">
        <f t="shared" si="27"/>
        <v>10.295888057852888</v>
      </c>
      <c r="O106" s="192">
        <v>0</v>
      </c>
      <c r="P106" s="192">
        <v>0</v>
      </c>
      <c r="Q106" s="192">
        <v>0</v>
      </c>
      <c r="R106" s="193">
        <f t="shared" si="28"/>
        <v>10.295888057852888</v>
      </c>
    </row>
    <row r="107" spans="1:18" x14ac:dyDescent="0.2">
      <c r="A107" s="112">
        <v>4</v>
      </c>
      <c r="B107" s="184">
        <f t="shared" si="4"/>
        <v>44287</v>
      </c>
      <c r="C107" s="207">
        <f t="shared" si="32"/>
        <v>44321</v>
      </c>
      <c r="D107" s="207">
        <f t="shared" si="32"/>
        <v>44340</v>
      </c>
      <c r="E107" s="54" t="s">
        <v>19</v>
      </c>
      <c r="F107" s="149">
        <v>9</v>
      </c>
      <c r="G107" s="187">
        <v>39</v>
      </c>
      <c r="H107" s="188">
        <f t="shared" si="25"/>
        <v>1.1251790663222052</v>
      </c>
      <c r="I107" s="188">
        <f t="shared" si="20"/>
        <v>1.3376212393608571</v>
      </c>
      <c r="J107" s="189">
        <f t="shared" si="2"/>
        <v>52.167228335073425</v>
      </c>
      <c r="K107" s="190">
        <f t="shared" si="30"/>
        <v>43.881983586566001</v>
      </c>
      <c r="L107" s="191">
        <f t="shared" ref="L107:L115" si="33">+J107-K107</f>
        <v>8.2852447485074237</v>
      </c>
      <c r="M107" s="192">
        <f t="shared" si="26"/>
        <v>0.25815172503008404</v>
      </c>
      <c r="N107" s="193">
        <f t="shared" si="27"/>
        <v>8.5433964735375074</v>
      </c>
      <c r="O107" s="192">
        <v>0</v>
      </c>
      <c r="P107" s="192">
        <v>0</v>
      </c>
      <c r="Q107" s="192">
        <v>0</v>
      </c>
      <c r="R107" s="193">
        <f t="shared" si="28"/>
        <v>8.5433964735375074</v>
      </c>
    </row>
    <row r="108" spans="1:18" x14ac:dyDescent="0.2">
      <c r="A108" s="149">
        <v>5</v>
      </c>
      <c r="B108" s="184">
        <f t="shared" si="4"/>
        <v>44317</v>
      </c>
      <c r="C108" s="207">
        <f t="shared" si="32"/>
        <v>44350</v>
      </c>
      <c r="D108" s="207">
        <f t="shared" si="32"/>
        <v>44371</v>
      </c>
      <c r="E108" s="54" t="s">
        <v>19</v>
      </c>
      <c r="F108" s="149">
        <v>9</v>
      </c>
      <c r="G108" s="187">
        <v>46</v>
      </c>
      <c r="H108" s="188">
        <f t="shared" si="25"/>
        <v>1.1251790663222052</v>
      </c>
      <c r="I108" s="188">
        <f t="shared" ref="I108:I127" si="34">$J$3</f>
        <v>1.3376212393608571</v>
      </c>
      <c r="J108" s="189">
        <f t="shared" si="2"/>
        <v>61.530577010599423</v>
      </c>
      <c r="K108" s="190">
        <f t="shared" si="30"/>
        <v>51.758237050821442</v>
      </c>
      <c r="L108" s="191">
        <f t="shared" si="33"/>
        <v>9.7723399597779803</v>
      </c>
      <c r="M108" s="192">
        <f t="shared" si="26"/>
        <v>0.30448665003548375</v>
      </c>
      <c r="N108" s="193">
        <f t="shared" si="27"/>
        <v>10.076826609813464</v>
      </c>
      <c r="O108" s="192">
        <v>0</v>
      </c>
      <c r="P108" s="192">
        <v>0</v>
      </c>
      <c r="Q108" s="192">
        <v>0</v>
      </c>
      <c r="R108" s="193">
        <f t="shared" si="28"/>
        <v>10.076826609813464</v>
      </c>
    </row>
    <row r="109" spans="1:18" x14ac:dyDescent="0.2">
      <c r="A109" s="149">
        <v>6</v>
      </c>
      <c r="B109" s="184">
        <f t="shared" ref="B109:B148" si="35">DATE($R$1,A109,1)</f>
        <v>44348</v>
      </c>
      <c r="C109" s="207">
        <f t="shared" si="32"/>
        <v>44383</v>
      </c>
      <c r="D109" s="207">
        <f t="shared" si="32"/>
        <v>44401</v>
      </c>
      <c r="E109" s="54" t="s">
        <v>19</v>
      </c>
      <c r="F109" s="149">
        <v>9</v>
      </c>
      <c r="G109" s="187">
        <v>51</v>
      </c>
      <c r="H109" s="188">
        <f t="shared" si="25"/>
        <v>1.1251790663222052</v>
      </c>
      <c r="I109" s="188">
        <f t="shared" si="34"/>
        <v>1.3376212393608571</v>
      </c>
      <c r="J109" s="189">
        <f t="shared" ref="J109:J148" si="36">+$G109*I109</f>
        <v>68.218683207403714</v>
      </c>
      <c r="K109" s="190">
        <f t="shared" si="30"/>
        <v>57.384132382432469</v>
      </c>
      <c r="L109" s="195">
        <f t="shared" si="33"/>
        <v>10.834550824971245</v>
      </c>
      <c r="M109" s="192">
        <f t="shared" si="26"/>
        <v>0.33758302503934068</v>
      </c>
      <c r="N109" s="193">
        <f t="shared" si="27"/>
        <v>11.172133850010585</v>
      </c>
      <c r="O109" s="192">
        <v>0</v>
      </c>
      <c r="P109" s="192">
        <v>0</v>
      </c>
      <c r="Q109" s="192">
        <v>0</v>
      </c>
      <c r="R109" s="193">
        <f t="shared" si="28"/>
        <v>11.172133850010585</v>
      </c>
    </row>
    <row r="110" spans="1:18" x14ac:dyDescent="0.2">
      <c r="A110" s="112">
        <v>7</v>
      </c>
      <c r="B110" s="184">
        <f t="shared" si="35"/>
        <v>44378</v>
      </c>
      <c r="C110" s="207">
        <f t="shared" si="32"/>
        <v>44412</v>
      </c>
      <c r="D110" s="207">
        <f t="shared" si="32"/>
        <v>44432</v>
      </c>
      <c r="E110" s="54" t="s">
        <v>19</v>
      </c>
      <c r="F110" s="149">
        <v>9</v>
      </c>
      <c r="G110" s="187">
        <v>46</v>
      </c>
      <c r="H110" s="188">
        <f t="shared" si="25"/>
        <v>1.1251790663222052</v>
      </c>
      <c r="I110" s="188">
        <f t="shared" si="34"/>
        <v>1.3376212393608571</v>
      </c>
      <c r="J110" s="189">
        <f t="shared" si="36"/>
        <v>61.530577010599423</v>
      </c>
      <c r="K110" s="196">
        <f t="shared" si="30"/>
        <v>51.758237050821442</v>
      </c>
      <c r="L110" s="195">
        <f t="shared" si="33"/>
        <v>9.7723399597779803</v>
      </c>
      <c r="M110" s="192">
        <f t="shared" si="26"/>
        <v>0.30448665003548375</v>
      </c>
      <c r="N110" s="193">
        <f t="shared" si="27"/>
        <v>10.076826609813464</v>
      </c>
      <c r="O110" s="192">
        <v>0</v>
      </c>
      <c r="P110" s="192">
        <v>0</v>
      </c>
      <c r="Q110" s="192">
        <v>0</v>
      </c>
      <c r="R110" s="193">
        <f t="shared" si="28"/>
        <v>10.076826609813464</v>
      </c>
    </row>
    <row r="111" spans="1:18" x14ac:dyDescent="0.2">
      <c r="A111" s="149">
        <v>8</v>
      </c>
      <c r="B111" s="184">
        <f t="shared" si="35"/>
        <v>44409</v>
      </c>
      <c r="C111" s="207">
        <f t="shared" si="32"/>
        <v>44442</v>
      </c>
      <c r="D111" s="207">
        <f t="shared" si="32"/>
        <v>44463</v>
      </c>
      <c r="E111" s="54" t="s">
        <v>19</v>
      </c>
      <c r="F111" s="149">
        <v>9</v>
      </c>
      <c r="G111" s="187">
        <v>50</v>
      </c>
      <c r="H111" s="188">
        <f t="shared" si="25"/>
        <v>1.1251790663222052</v>
      </c>
      <c r="I111" s="188">
        <f t="shared" si="34"/>
        <v>1.3376212393608571</v>
      </c>
      <c r="J111" s="189">
        <f t="shared" si="36"/>
        <v>66.881061968042857</v>
      </c>
      <c r="K111" s="196">
        <f t="shared" si="30"/>
        <v>56.258953316110258</v>
      </c>
      <c r="L111" s="195">
        <f t="shared" si="33"/>
        <v>10.622108651932599</v>
      </c>
      <c r="M111" s="192">
        <f t="shared" si="26"/>
        <v>0.33096375003856932</v>
      </c>
      <c r="N111" s="193">
        <f t="shared" si="27"/>
        <v>10.953072401971168</v>
      </c>
      <c r="O111" s="192">
        <v>0</v>
      </c>
      <c r="P111" s="192">
        <v>0</v>
      </c>
      <c r="Q111" s="192">
        <v>0</v>
      </c>
      <c r="R111" s="193">
        <f t="shared" si="28"/>
        <v>10.953072401971168</v>
      </c>
    </row>
    <row r="112" spans="1:18" x14ac:dyDescent="0.2">
      <c r="A112" s="149">
        <v>9</v>
      </c>
      <c r="B112" s="184">
        <f t="shared" si="35"/>
        <v>44440</v>
      </c>
      <c r="C112" s="207">
        <f t="shared" si="32"/>
        <v>44474</v>
      </c>
      <c r="D112" s="207">
        <f t="shared" si="32"/>
        <v>44494</v>
      </c>
      <c r="E112" s="54" t="s">
        <v>19</v>
      </c>
      <c r="F112" s="149">
        <v>9</v>
      </c>
      <c r="G112" s="187">
        <v>45</v>
      </c>
      <c r="H112" s="188">
        <f t="shared" si="25"/>
        <v>1.1251790663222052</v>
      </c>
      <c r="I112" s="188">
        <f t="shared" si="34"/>
        <v>1.3376212393608571</v>
      </c>
      <c r="J112" s="189">
        <f t="shared" si="36"/>
        <v>60.192955771238566</v>
      </c>
      <c r="K112" s="196">
        <f t="shared" si="30"/>
        <v>50.633057984499231</v>
      </c>
      <c r="L112" s="195">
        <f t="shared" si="33"/>
        <v>9.5598977867393344</v>
      </c>
      <c r="M112" s="192">
        <f t="shared" si="26"/>
        <v>0.29786737503471233</v>
      </c>
      <c r="N112" s="193">
        <f t="shared" si="27"/>
        <v>9.8577651617740472</v>
      </c>
      <c r="O112" s="192">
        <v>0</v>
      </c>
      <c r="P112" s="192">
        <v>0</v>
      </c>
      <c r="Q112" s="192">
        <v>0</v>
      </c>
      <c r="R112" s="193">
        <f t="shared" si="28"/>
        <v>9.8577651617740472</v>
      </c>
    </row>
    <row r="113" spans="1:18" x14ac:dyDescent="0.2">
      <c r="A113" s="112">
        <v>10</v>
      </c>
      <c r="B113" s="184">
        <f t="shared" si="35"/>
        <v>44470</v>
      </c>
      <c r="C113" s="207">
        <f t="shared" si="32"/>
        <v>44503</v>
      </c>
      <c r="D113" s="207">
        <f t="shared" si="32"/>
        <v>44524</v>
      </c>
      <c r="E113" s="54" t="s">
        <v>19</v>
      </c>
      <c r="F113" s="149">
        <v>9</v>
      </c>
      <c r="G113" s="187">
        <v>46</v>
      </c>
      <c r="H113" s="188">
        <f t="shared" si="25"/>
        <v>1.1251790663222052</v>
      </c>
      <c r="I113" s="188">
        <f t="shared" si="34"/>
        <v>1.3376212393608571</v>
      </c>
      <c r="J113" s="189">
        <f t="shared" si="36"/>
        <v>61.530577010599423</v>
      </c>
      <c r="K113" s="196">
        <f t="shared" si="30"/>
        <v>51.758237050821442</v>
      </c>
      <c r="L113" s="195">
        <f t="shared" si="33"/>
        <v>9.7723399597779803</v>
      </c>
      <c r="M113" s="192">
        <f t="shared" si="26"/>
        <v>0.30448665003548375</v>
      </c>
      <c r="N113" s="193">
        <f t="shared" si="27"/>
        <v>10.076826609813464</v>
      </c>
      <c r="O113" s="192">
        <v>0</v>
      </c>
      <c r="P113" s="192">
        <v>0</v>
      </c>
      <c r="Q113" s="192">
        <v>0</v>
      </c>
      <c r="R113" s="193">
        <f t="shared" si="28"/>
        <v>10.076826609813464</v>
      </c>
    </row>
    <row r="114" spans="1:18" x14ac:dyDescent="0.2">
      <c r="A114" s="149">
        <v>11</v>
      </c>
      <c r="B114" s="184">
        <f t="shared" si="35"/>
        <v>44501</v>
      </c>
      <c r="C114" s="207">
        <f t="shared" si="32"/>
        <v>44533</v>
      </c>
      <c r="D114" s="207">
        <f t="shared" si="32"/>
        <v>44557</v>
      </c>
      <c r="E114" s="54" t="s">
        <v>19</v>
      </c>
      <c r="F114" s="149">
        <v>9</v>
      </c>
      <c r="G114" s="187">
        <v>48</v>
      </c>
      <c r="H114" s="188">
        <f t="shared" si="25"/>
        <v>1.1251790663222052</v>
      </c>
      <c r="I114" s="188">
        <f t="shared" si="34"/>
        <v>1.3376212393608571</v>
      </c>
      <c r="J114" s="189">
        <f t="shared" si="36"/>
        <v>64.205819489321144</v>
      </c>
      <c r="K114" s="196">
        <f t="shared" si="30"/>
        <v>54.00859518346585</v>
      </c>
      <c r="L114" s="195">
        <f t="shared" si="33"/>
        <v>10.197224305855293</v>
      </c>
      <c r="M114" s="192">
        <f t="shared" si="26"/>
        <v>0.31772520003702648</v>
      </c>
      <c r="N114" s="193">
        <f t="shared" si="27"/>
        <v>10.51494950589232</v>
      </c>
      <c r="O114" s="192">
        <v>0</v>
      </c>
      <c r="P114" s="192">
        <v>0</v>
      </c>
      <c r="Q114" s="192">
        <v>0</v>
      </c>
      <c r="R114" s="193">
        <f t="shared" si="28"/>
        <v>10.51494950589232</v>
      </c>
    </row>
    <row r="115" spans="1:18" s="211" customFormat="1" x14ac:dyDescent="0.2">
      <c r="A115" s="149">
        <v>12</v>
      </c>
      <c r="B115" s="209">
        <f t="shared" si="35"/>
        <v>44531</v>
      </c>
      <c r="C115" s="212">
        <f t="shared" si="32"/>
        <v>44566</v>
      </c>
      <c r="D115" s="212">
        <f t="shared" si="32"/>
        <v>44585</v>
      </c>
      <c r="E115" s="210" t="s">
        <v>19</v>
      </c>
      <c r="F115" s="160">
        <v>9</v>
      </c>
      <c r="G115" s="187">
        <v>42</v>
      </c>
      <c r="H115" s="199">
        <f t="shared" si="25"/>
        <v>1.1251790663222052</v>
      </c>
      <c r="I115" s="199">
        <f t="shared" si="34"/>
        <v>1.3376212393608571</v>
      </c>
      <c r="J115" s="200">
        <f t="shared" si="36"/>
        <v>56.180092053155995</v>
      </c>
      <c r="K115" s="201">
        <f t="shared" si="30"/>
        <v>47.25752078553262</v>
      </c>
      <c r="L115" s="202">
        <f t="shared" si="33"/>
        <v>8.9225712676233755</v>
      </c>
      <c r="M115" s="192">
        <f t="shared" si="26"/>
        <v>0.27800955003239819</v>
      </c>
      <c r="N115" s="193">
        <f t="shared" si="27"/>
        <v>9.2005808176557728</v>
      </c>
      <c r="O115" s="192">
        <v>0</v>
      </c>
      <c r="P115" s="192">
        <v>0</v>
      </c>
      <c r="Q115" s="192">
        <v>0</v>
      </c>
      <c r="R115" s="193">
        <f t="shared" si="28"/>
        <v>9.2005808176557728</v>
      </c>
    </row>
    <row r="116" spans="1:18" x14ac:dyDescent="0.2">
      <c r="A116" s="112">
        <v>1</v>
      </c>
      <c r="B116" s="184">
        <f t="shared" si="35"/>
        <v>44197</v>
      </c>
      <c r="C116" s="207">
        <f t="shared" si="32"/>
        <v>44230</v>
      </c>
      <c r="D116" s="207">
        <f t="shared" si="32"/>
        <v>44251</v>
      </c>
      <c r="E116" s="186" t="s">
        <v>13</v>
      </c>
      <c r="F116" s="112">
        <v>9</v>
      </c>
      <c r="G116" s="187">
        <v>973</v>
      </c>
      <c r="H116" s="188">
        <f t="shared" si="25"/>
        <v>1.1251790663222052</v>
      </c>
      <c r="I116" s="188">
        <f t="shared" si="34"/>
        <v>1.3376212393608571</v>
      </c>
      <c r="J116" s="189">
        <f t="shared" si="36"/>
        <v>1301.5054658981139</v>
      </c>
      <c r="K116" s="190">
        <f t="shared" si="30"/>
        <v>1094.7992315315057</v>
      </c>
      <c r="L116" s="191">
        <f>+J116-K116</f>
        <v>206.70623436660821</v>
      </c>
      <c r="M116" s="192">
        <f t="shared" si="26"/>
        <v>6.440554575750558</v>
      </c>
      <c r="N116" s="193">
        <f t="shared" si="27"/>
        <v>213.14678894235877</v>
      </c>
      <c r="O116" s="192">
        <v>0</v>
      </c>
      <c r="P116" s="192">
        <v>0</v>
      </c>
      <c r="Q116" s="192">
        <v>0</v>
      </c>
      <c r="R116" s="193">
        <f t="shared" si="28"/>
        <v>213.14678894235877</v>
      </c>
    </row>
    <row r="117" spans="1:18" x14ac:dyDescent="0.2">
      <c r="A117" s="149">
        <v>2</v>
      </c>
      <c r="B117" s="184">
        <f t="shared" si="35"/>
        <v>44228</v>
      </c>
      <c r="C117" s="207">
        <f t="shared" ref="C117:D139" si="37">+C105</f>
        <v>44258</v>
      </c>
      <c r="D117" s="207">
        <f t="shared" si="37"/>
        <v>44279</v>
      </c>
      <c r="E117" s="194" t="s">
        <v>13</v>
      </c>
      <c r="F117" s="149">
        <v>9</v>
      </c>
      <c r="G117" s="187">
        <v>1338</v>
      </c>
      <c r="H117" s="188">
        <f t="shared" si="25"/>
        <v>1.1251790663222052</v>
      </c>
      <c r="I117" s="188">
        <f t="shared" si="34"/>
        <v>1.3376212393608571</v>
      </c>
      <c r="J117" s="189">
        <f t="shared" si="36"/>
        <v>1789.7372182648269</v>
      </c>
      <c r="K117" s="190">
        <f t="shared" si="30"/>
        <v>1505.4895907391106</v>
      </c>
      <c r="L117" s="191">
        <f>+J117-K117</f>
        <v>284.24762752571633</v>
      </c>
      <c r="M117" s="192">
        <f t="shared" si="26"/>
        <v>8.8565899510321149</v>
      </c>
      <c r="N117" s="193">
        <f t="shared" si="27"/>
        <v>293.10421747674843</v>
      </c>
      <c r="O117" s="192">
        <v>0</v>
      </c>
      <c r="P117" s="192">
        <v>0</v>
      </c>
      <c r="Q117" s="192">
        <v>0</v>
      </c>
      <c r="R117" s="193">
        <f t="shared" si="28"/>
        <v>293.10421747674843</v>
      </c>
    </row>
    <row r="118" spans="1:18" x14ac:dyDescent="0.2">
      <c r="A118" s="149">
        <v>3</v>
      </c>
      <c r="B118" s="184">
        <f t="shared" si="35"/>
        <v>44256</v>
      </c>
      <c r="C118" s="207">
        <f t="shared" si="37"/>
        <v>44291</v>
      </c>
      <c r="D118" s="207">
        <f t="shared" si="37"/>
        <v>44312</v>
      </c>
      <c r="E118" s="194" t="s">
        <v>13</v>
      </c>
      <c r="F118" s="149">
        <v>9</v>
      </c>
      <c r="G118" s="187">
        <v>790</v>
      </c>
      <c r="H118" s="188">
        <f t="shared" si="25"/>
        <v>1.1251790663222052</v>
      </c>
      <c r="I118" s="188">
        <f t="shared" si="34"/>
        <v>1.3376212393608571</v>
      </c>
      <c r="J118" s="189">
        <f t="shared" si="36"/>
        <v>1056.7207790950772</v>
      </c>
      <c r="K118" s="190">
        <f t="shared" si="30"/>
        <v>888.89146239454215</v>
      </c>
      <c r="L118" s="191">
        <f>+J118-K118</f>
        <v>167.82931670053506</v>
      </c>
      <c r="M118" s="192">
        <f t="shared" si="26"/>
        <v>5.2292272506093944</v>
      </c>
      <c r="N118" s="193">
        <f t="shared" si="27"/>
        <v>173.05854395114446</v>
      </c>
      <c r="O118" s="192">
        <v>0</v>
      </c>
      <c r="P118" s="192">
        <v>0</v>
      </c>
      <c r="Q118" s="192">
        <v>0</v>
      </c>
      <c r="R118" s="193">
        <f t="shared" si="28"/>
        <v>173.05854395114446</v>
      </c>
    </row>
    <row r="119" spans="1:18" x14ac:dyDescent="0.2">
      <c r="A119" s="112">
        <v>4</v>
      </c>
      <c r="B119" s="184">
        <f t="shared" si="35"/>
        <v>44287</v>
      </c>
      <c r="C119" s="207">
        <f t="shared" si="37"/>
        <v>44321</v>
      </c>
      <c r="D119" s="207">
        <f t="shared" si="37"/>
        <v>44340</v>
      </c>
      <c r="E119" s="54" t="s">
        <v>13</v>
      </c>
      <c r="F119" s="149">
        <v>9</v>
      </c>
      <c r="G119" s="187">
        <v>565</v>
      </c>
      <c r="H119" s="188">
        <f t="shared" si="25"/>
        <v>1.1251790663222052</v>
      </c>
      <c r="I119" s="188">
        <f t="shared" si="34"/>
        <v>1.3376212393608571</v>
      </c>
      <c r="J119" s="189">
        <f t="shared" si="36"/>
        <v>755.75600023888421</v>
      </c>
      <c r="K119" s="190">
        <f t="shared" si="30"/>
        <v>635.72617247204596</v>
      </c>
      <c r="L119" s="191">
        <f t="shared" ref="L119:L127" si="38">+J119-K119</f>
        <v>120.02982776683825</v>
      </c>
      <c r="M119" s="192">
        <f t="shared" si="26"/>
        <v>3.7398903754358326</v>
      </c>
      <c r="N119" s="193">
        <f t="shared" si="27"/>
        <v>123.76971814227409</v>
      </c>
      <c r="O119" s="192">
        <v>0</v>
      </c>
      <c r="P119" s="192">
        <v>0</v>
      </c>
      <c r="Q119" s="192">
        <v>0</v>
      </c>
      <c r="R119" s="193">
        <f t="shared" si="28"/>
        <v>123.76971814227409</v>
      </c>
    </row>
    <row r="120" spans="1:18" x14ac:dyDescent="0.2">
      <c r="A120" s="149">
        <v>5</v>
      </c>
      <c r="B120" s="184">
        <f t="shared" si="35"/>
        <v>44317</v>
      </c>
      <c r="C120" s="207">
        <f t="shared" si="37"/>
        <v>44350</v>
      </c>
      <c r="D120" s="207">
        <f t="shared" si="37"/>
        <v>44371</v>
      </c>
      <c r="E120" s="54" t="s">
        <v>13</v>
      </c>
      <c r="F120" s="149">
        <v>9</v>
      </c>
      <c r="G120" s="187">
        <v>636</v>
      </c>
      <c r="H120" s="188">
        <f t="shared" si="25"/>
        <v>1.1251790663222052</v>
      </c>
      <c r="I120" s="188">
        <f t="shared" si="34"/>
        <v>1.3376212393608571</v>
      </c>
      <c r="J120" s="189">
        <f t="shared" si="36"/>
        <v>850.72710823350508</v>
      </c>
      <c r="K120" s="190">
        <f t="shared" si="30"/>
        <v>715.61388618092246</v>
      </c>
      <c r="L120" s="191">
        <f t="shared" si="38"/>
        <v>135.11322205258261</v>
      </c>
      <c r="M120" s="192">
        <f t="shared" si="26"/>
        <v>4.2098589004906009</v>
      </c>
      <c r="N120" s="193">
        <f t="shared" si="27"/>
        <v>139.3230809530732</v>
      </c>
      <c r="O120" s="192">
        <v>0</v>
      </c>
      <c r="P120" s="192">
        <v>0</v>
      </c>
      <c r="Q120" s="192">
        <v>0</v>
      </c>
      <c r="R120" s="193">
        <f t="shared" si="28"/>
        <v>139.3230809530732</v>
      </c>
    </row>
    <row r="121" spans="1:18" x14ac:dyDescent="0.2">
      <c r="A121" s="149">
        <v>6</v>
      </c>
      <c r="B121" s="184">
        <f t="shared" si="35"/>
        <v>44348</v>
      </c>
      <c r="C121" s="207">
        <f t="shared" si="37"/>
        <v>44383</v>
      </c>
      <c r="D121" s="207">
        <f t="shared" si="37"/>
        <v>44401</v>
      </c>
      <c r="E121" s="54" t="s">
        <v>13</v>
      </c>
      <c r="F121" s="149">
        <v>9</v>
      </c>
      <c r="G121" s="187">
        <v>845</v>
      </c>
      <c r="H121" s="188">
        <f t="shared" si="25"/>
        <v>1.1251790663222052</v>
      </c>
      <c r="I121" s="188">
        <f t="shared" si="34"/>
        <v>1.3376212393608571</v>
      </c>
      <c r="J121" s="189">
        <f t="shared" si="36"/>
        <v>1130.2899472599242</v>
      </c>
      <c r="K121" s="190">
        <f t="shared" si="30"/>
        <v>950.77631104226339</v>
      </c>
      <c r="L121" s="195">
        <f t="shared" si="38"/>
        <v>179.51363621766086</v>
      </c>
      <c r="M121" s="192">
        <f t="shared" si="26"/>
        <v>5.5932873756518209</v>
      </c>
      <c r="N121" s="193">
        <f t="shared" si="27"/>
        <v>185.10692359331267</v>
      </c>
      <c r="O121" s="192">
        <v>0</v>
      </c>
      <c r="P121" s="192">
        <v>0</v>
      </c>
      <c r="Q121" s="192">
        <v>0</v>
      </c>
      <c r="R121" s="193">
        <f t="shared" si="28"/>
        <v>185.10692359331267</v>
      </c>
    </row>
    <row r="122" spans="1:18" x14ac:dyDescent="0.2">
      <c r="A122" s="112">
        <v>7</v>
      </c>
      <c r="B122" s="184">
        <f t="shared" si="35"/>
        <v>44378</v>
      </c>
      <c r="C122" s="207">
        <f t="shared" si="37"/>
        <v>44412</v>
      </c>
      <c r="D122" s="207">
        <f t="shared" si="37"/>
        <v>44432</v>
      </c>
      <c r="E122" s="54" t="s">
        <v>13</v>
      </c>
      <c r="F122" s="149">
        <v>9</v>
      </c>
      <c r="G122" s="187">
        <v>897</v>
      </c>
      <c r="H122" s="188">
        <f t="shared" si="25"/>
        <v>1.1251790663222052</v>
      </c>
      <c r="I122" s="188">
        <f t="shared" si="34"/>
        <v>1.3376212393608571</v>
      </c>
      <c r="J122" s="189">
        <f t="shared" si="36"/>
        <v>1199.8462517066889</v>
      </c>
      <c r="K122" s="196">
        <f t="shared" si="30"/>
        <v>1009.2856224910181</v>
      </c>
      <c r="L122" s="195">
        <f t="shared" si="38"/>
        <v>190.56062921567082</v>
      </c>
      <c r="M122" s="192">
        <f t="shared" si="26"/>
        <v>5.9374896756919329</v>
      </c>
      <c r="N122" s="193">
        <f t="shared" si="27"/>
        <v>196.49811889136274</v>
      </c>
      <c r="O122" s="192">
        <v>0</v>
      </c>
      <c r="P122" s="192">
        <v>0</v>
      </c>
      <c r="Q122" s="192">
        <v>0</v>
      </c>
      <c r="R122" s="193">
        <f t="shared" si="28"/>
        <v>196.49811889136274</v>
      </c>
    </row>
    <row r="123" spans="1:18" x14ac:dyDescent="0.2">
      <c r="A123" s="149">
        <v>8</v>
      </c>
      <c r="B123" s="184">
        <f t="shared" si="35"/>
        <v>44409</v>
      </c>
      <c r="C123" s="207">
        <f t="shared" si="37"/>
        <v>44442</v>
      </c>
      <c r="D123" s="207">
        <f t="shared" si="37"/>
        <v>44463</v>
      </c>
      <c r="E123" s="54" t="s">
        <v>13</v>
      </c>
      <c r="F123" s="149">
        <v>9</v>
      </c>
      <c r="G123" s="187">
        <v>899</v>
      </c>
      <c r="H123" s="188">
        <f t="shared" si="25"/>
        <v>1.1251790663222052</v>
      </c>
      <c r="I123" s="188">
        <f t="shared" si="34"/>
        <v>1.3376212393608571</v>
      </c>
      <c r="J123" s="189">
        <f t="shared" si="36"/>
        <v>1202.5214941854106</v>
      </c>
      <c r="K123" s="196">
        <f t="shared" si="30"/>
        <v>1011.5359806236625</v>
      </c>
      <c r="L123" s="195">
        <f t="shared" si="38"/>
        <v>190.98551356174812</v>
      </c>
      <c r="M123" s="192">
        <f t="shared" si="26"/>
        <v>5.9507282256934761</v>
      </c>
      <c r="N123" s="193">
        <f t="shared" si="27"/>
        <v>196.93624178744159</v>
      </c>
      <c r="O123" s="192">
        <v>0</v>
      </c>
      <c r="P123" s="192">
        <v>0</v>
      </c>
      <c r="Q123" s="192">
        <v>0</v>
      </c>
      <c r="R123" s="193">
        <f t="shared" si="28"/>
        <v>196.93624178744159</v>
      </c>
    </row>
    <row r="124" spans="1:18" x14ac:dyDescent="0.2">
      <c r="A124" s="149">
        <v>9</v>
      </c>
      <c r="B124" s="184">
        <f t="shared" si="35"/>
        <v>44440</v>
      </c>
      <c r="C124" s="207">
        <f t="shared" si="37"/>
        <v>44474</v>
      </c>
      <c r="D124" s="207">
        <f t="shared" si="37"/>
        <v>44494</v>
      </c>
      <c r="E124" s="54" t="s">
        <v>13</v>
      </c>
      <c r="F124" s="149">
        <v>9</v>
      </c>
      <c r="G124" s="187">
        <v>904</v>
      </c>
      <c r="H124" s="188">
        <f t="shared" si="25"/>
        <v>1.1251790663222052</v>
      </c>
      <c r="I124" s="188">
        <f t="shared" si="34"/>
        <v>1.3376212393608571</v>
      </c>
      <c r="J124" s="189">
        <f t="shared" si="36"/>
        <v>1209.2096003822148</v>
      </c>
      <c r="K124" s="196">
        <f t="shared" si="30"/>
        <v>1017.1618759552736</v>
      </c>
      <c r="L124" s="195">
        <f t="shared" si="38"/>
        <v>192.04772442694127</v>
      </c>
      <c r="M124" s="192">
        <f t="shared" si="26"/>
        <v>5.983824600697333</v>
      </c>
      <c r="N124" s="193">
        <f t="shared" si="27"/>
        <v>198.03154902763862</v>
      </c>
      <c r="O124" s="192">
        <v>0</v>
      </c>
      <c r="P124" s="192">
        <v>0</v>
      </c>
      <c r="Q124" s="192">
        <v>0</v>
      </c>
      <c r="R124" s="193">
        <f t="shared" si="28"/>
        <v>198.03154902763862</v>
      </c>
    </row>
    <row r="125" spans="1:18" x14ac:dyDescent="0.2">
      <c r="A125" s="112">
        <v>10</v>
      </c>
      <c r="B125" s="184">
        <f t="shared" si="35"/>
        <v>44470</v>
      </c>
      <c r="C125" s="207">
        <f t="shared" si="37"/>
        <v>44503</v>
      </c>
      <c r="D125" s="207">
        <f t="shared" si="37"/>
        <v>44524</v>
      </c>
      <c r="E125" s="54" t="s">
        <v>13</v>
      </c>
      <c r="F125" s="149">
        <v>9</v>
      </c>
      <c r="G125" s="187">
        <v>685</v>
      </c>
      <c r="H125" s="188">
        <f t="shared" si="25"/>
        <v>1.1251790663222052</v>
      </c>
      <c r="I125" s="188">
        <f t="shared" si="34"/>
        <v>1.3376212393608571</v>
      </c>
      <c r="J125" s="189">
        <f t="shared" si="36"/>
        <v>916.27054896218715</v>
      </c>
      <c r="K125" s="196">
        <f t="shared" si="30"/>
        <v>770.74766043071054</v>
      </c>
      <c r="L125" s="195">
        <f t="shared" si="38"/>
        <v>145.52288853147661</v>
      </c>
      <c r="M125" s="192">
        <f t="shared" si="26"/>
        <v>4.5342033755283992</v>
      </c>
      <c r="N125" s="193">
        <f t="shared" si="27"/>
        <v>150.057091907005</v>
      </c>
      <c r="O125" s="192">
        <v>0</v>
      </c>
      <c r="P125" s="192">
        <v>0</v>
      </c>
      <c r="Q125" s="192">
        <v>0</v>
      </c>
      <c r="R125" s="193">
        <f t="shared" si="28"/>
        <v>150.057091907005</v>
      </c>
    </row>
    <row r="126" spans="1:18" x14ac:dyDescent="0.2">
      <c r="A126" s="149">
        <v>11</v>
      </c>
      <c r="B126" s="184">
        <f t="shared" si="35"/>
        <v>44501</v>
      </c>
      <c r="C126" s="207">
        <f t="shared" si="37"/>
        <v>44533</v>
      </c>
      <c r="D126" s="207">
        <f t="shared" si="37"/>
        <v>44557</v>
      </c>
      <c r="E126" s="54" t="s">
        <v>13</v>
      </c>
      <c r="F126" s="149">
        <v>9</v>
      </c>
      <c r="G126" s="187">
        <v>718</v>
      </c>
      <c r="H126" s="188">
        <f t="shared" si="25"/>
        <v>1.1251790663222052</v>
      </c>
      <c r="I126" s="188">
        <f t="shared" si="34"/>
        <v>1.3376212393608571</v>
      </c>
      <c r="J126" s="189">
        <f t="shared" si="36"/>
        <v>960.4120498610954</v>
      </c>
      <c r="K126" s="196">
        <f t="shared" si="30"/>
        <v>807.87856961934335</v>
      </c>
      <c r="L126" s="195">
        <f t="shared" si="38"/>
        <v>152.53348024175205</v>
      </c>
      <c r="M126" s="192">
        <f t="shared" si="26"/>
        <v>4.7526394505538549</v>
      </c>
      <c r="N126" s="193">
        <f t="shared" si="27"/>
        <v>157.2861196923059</v>
      </c>
      <c r="O126" s="192">
        <v>0</v>
      </c>
      <c r="P126" s="192">
        <v>0</v>
      </c>
      <c r="Q126" s="192">
        <v>0</v>
      </c>
      <c r="R126" s="193">
        <f t="shared" si="28"/>
        <v>157.2861196923059</v>
      </c>
    </row>
    <row r="127" spans="1:18" s="211" customFormat="1" x14ac:dyDescent="0.2">
      <c r="A127" s="149">
        <v>12</v>
      </c>
      <c r="B127" s="209">
        <f t="shared" si="35"/>
        <v>44531</v>
      </c>
      <c r="C127" s="212">
        <f t="shared" si="37"/>
        <v>44566</v>
      </c>
      <c r="D127" s="212">
        <f t="shared" si="37"/>
        <v>44585</v>
      </c>
      <c r="E127" s="210" t="s">
        <v>13</v>
      </c>
      <c r="F127" s="160">
        <v>9</v>
      </c>
      <c r="G127" s="187">
        <v>770</v>
      </c>
      <c r="H127" s="199">
        <f t="shared" si="25"/>
        <v>1.1251790663222052</v>
      </c>
      <c r="I127" s="199">
        <f t="shared" si="34"/>
        <v>1.3376212393608571</v>
      </c>
      <c r="J127" s="200">
        <f t="shared" si="36"/>
        <v>1029.96835430786</v>
      </c>
      <c r="K127" s="201">
        <f t="shared" si="30"/>
        <v>866.38788106809807</v>
      </c>
      <c r="L127" s="202">
        <f t="shared" si="38"/>
        <v>163.58047323976189</v>
      </c>
      <c r="M127" s="192">
        <f t="shared" si="26"/>
        <v>5.0968417505939669</v>
      </c>
      <c r="N127" s="193">
        <f t="shared" si="27"/>
        <v>168.67731499035585</v>
      </c>
      <c r="O127" s="192">
        <v>0</v>
      </c>
      <c r="P127" s="192">
        <v>0</v>
      </c>
      <c r="Q127" s="192">
        <v>0</v>
      </c>
      <c r="R127" s="193">
        <f t="shared" si="28"/>
        <v>168.67731499035585</v>
      </c>
    </row>
    <row r="128" spans="1:18" x14ac:dyDescent="0.2">
      <c r="A128" s="112">
        <v>1</v>
      </c>
      <c r="B128" s="184">
        <f t="shared" si="35"/>
        <v>44197</v>
      </c>
      <c r="C128" s="207">
        <f t="shared" si="37"/>
        <v>44230</v>
      </c>
      <c r="D128" s="207">
        <f t="shared" si="37"/>
        <v>44251</v>
      </c>
      <c r="E128" s="186" t="s">
        <v>15</v>
      </c>
      <c r="F128" s="112">
        <v>9</v>
      </c>
      <c r="G128" s="187">
        <v>7</v>
      </c>
      <c r="H128" s="188">
        <f t="shared" si="25"/>
        <v>1.1251790663222052</v>
      </c>
      <c r="I128" s="188">
        <f t="shared" ref="I128:I147" si="39">$J$3</f>
        <v>1.3376212393608571</v>
      </c>
      <c r="J128" s="189">
        <f t="shared" si="36"/>
        <v>9.3633486755259998</v>
      </c>
      <c r="K128" s="190">
        <f t="shared" si="30"/>
        <v>7.876253464255436</v>
      </c>
      <c r="L128" s="191">
        <f>+J128-K128</f>
        <v>1.4870952112705638</v>
      </c>
      <c r="M128" s="192">
        <f t="shared" si="26"/>
        <v>4.6334925005399701E-2</v>
      </c>
      <c r="N128" s="193">
        <f t="shared" si="27"/>
        <v>1.5334301362759635</v>
      </c>
      <c r="O128" s="192">
        <v>0</v>
      </c>
      <c r="P128" s="192">
        <v>0</v>
      </c>
      <c r="Q128" s="192">
        <v>0</v>
      </c>
      <c r="R128" s="193">
        <f t="shared" si="28"/>
        <v>1.5334301362759635</v>
      </c>
    </row>
    <row r="129" spans="1:18" x14ac:dyDescent="0.2">
      <c r="A129" s="149">
        <v>2</v>
      </c>
      <c r="B129" s="184">
        <f t="shared" si="35"/>
        <v>44228</v>
      </c>
      <c r="C129" s="207">
        <f t="shared" si="37"/>
        <v>44258</v>
      </c>
      <c r="D129" s="207">
        <f t="shared" si="37"/>
        <v>44279</v>
      </c>
      <c r="E129" s="194" t="s">
        <v>15</v>
      </c>
      <c r="F129" s="149">
        <v>9</v>
      </c>
      <c r="G129" s="187">
        <v>8</v>
      </c>
      <c r="H129" s="188">
        <f t="shared" si="25"/>
        <v>1.1251790663222052</v>
      </c>
      <c r="I129" s="188">
        <f t="shared" si="39"/>
        <v>1.3376212393608571</v>
      </c>
      <c r="J129" s="189">
        <f t="shared" si="36"/>
        <v>10.700969914886857</v>
      </c>
      <c r="K129" s="190">
        <f t="shared" si="30"/>
        <v>9.0014325305776417</v>
      </c>
      <c r="L129" s="191">
        <f>+J129-K129</f>
        <v>1.699537384309215</v>
      </c>
      <c r="M129" s="192">
        <f t="shared" si="26"/>
        <v>5.2954200006171084E-2</v>
      </c>
      <c r="N129" s="193">
        <f t="shared" si="27"/>
        <v>1.7524915843153861</v>
      </c>
      <c r="O129" s="192">
        <v>0</v>
      </c>
      <c r="P129" s="192">
        <v>0</v>
      </c>
      <c r="Q129" s="192">
        <v>0</v>
      </c>
      <c r="R129" s="193">
        <f t="shared" si="28"/>
        <v>1.7524915843153861</v>
      </c>
    </row>
    <row r="130" spans="1:18" x14ac:dyDescent="0.2">
      <c r="A130" s="149">
        <v>3</v>
      </c>
      <c r="B130" s="184">
        <f t="shared" si="35"/>
        <v>44256</v>
      </c>
      <c r="C130" s="207">
        <f t="shared" si="37"/>
        <v>44291</v>
      </c>
      <c r="D130" s="207">
        <f t="shared" si="37"/>
        <v>44312</v>
      </c>
      <c r="E130" s="194" t="s">
        <v>15</v>
      </c>
      <c r="F130" s="149">
        <v>9</v>
      </c>
      <c r="G130" s="187">
        <v>5</v>
      </c>
      <c r="H130" s="188">
        <f t="shared" si="25"/>
        <v>1.1251790663222052</v>
      </c>
      <c r="I130" s="188">
        <f t="shared" si="39"/>
        <v>1.3376212393608571</v>
      </c>
      <c r="J130" s="189">
        <f t="shared" si="36"/>
        <v>6.6881061968042852</v>
      </c>
      <c r="K130" s="190">
        <f t="shared" si="30"/>
        <v>5.6258953316110265</v>
      </c>
      <c r="L130" s="191">
        <f>+J130-K130</f>
        <v>1.0622108651932587</v>
      </c>
      <c r="M130" s="192">
        <f t="shared" si="26"/>
        <v>3.3096375003856926E-2</v>
      </c>
      <c r="N130" s="193">
        <f t="shared" si="27"/>
        <v>1.0953072401971156</v>
      </c>
      <c r="O130" s="192">
        <v>0</v>
      </c>
      <c r="P130" s="192">
        <v>0</v>
      </c>
      <c r="Q130" s="192">
        <v>0</v>
      </c>
      <c r="R130" s="193">
        <f t="shared" si="28"/>
        <v>1.0953072401971156</v>
      </c>
    </row>
    <row r="131" spans="1:18" x14ac:dyDescent="0.2">
      <c r="A131" s="112">
        <v>4</v>
      </c>
      <c r="B131" s="184">
        <f t="shared" si="35"/>
        <v>44287</v>
      </c>
      <c r="C131" s="207">
        <f t="shared" si="37"/>
        <v>44321</v>
      </c>
      <c r="D131" s="207">
        <f t="shared" si="37"/>
        <v>44340</v>
      </c>
      <c r="E131" s="194" t="s">
        <v>15</v>
      </c>
      <c r="F131" s="149">
        <v>9</v>
      </c>
      <c r="G131" s="187">
        <v>6</v>
      </c>
      <c r="H131" s="188">
        <f t="shared" si="25"/>
        <v>1.1251790663222052</v>
      </c>
      <c r="I131" s="188">
        <f t="shared" si="39"/>
        <v>1.3376212393608571</v>
      </c>
      <c r="J131" s="189">
        <f t="shared" si="36"/>
        <v>8.0257274361651429</v>
      </c>
      <c r="K131" s="190">
        <f t="shared" si="30"/>
        <v>6.7510743979332313</v>
      </c>
      <c r="L131" s="191">
        <f t="shared" ref="L131:L141" si="40">+J131-K131</f>
        <v>1.2746530382319117</v>
      </c>
      <c r="M131" s="192">
        <f t="shared" si="26"/>
        <v>3.971565000462831E-2</v>
      </c>
      <c r="N131" s="193">
        <f t="shared" si="27"/>
        <v>1.31436868823654</v>
      </c>
      <c r="O131" s="192">
        <v>0</v>
      </c>
      <c r="P131" s="192">
        <v>0</v>
      </c>
      <c r="Q131" s="192">
        <v>0</v>
      </c>
      <c r="R131" s="193">
        <f t="shared" si="28"/>
        <v>1.31436868823654</v>
      </c>
    </row>
    <row r="132" spans="1:18" x14ac:dyDescent="0.2">
      <c r="A132" s="149">
        <v>5</v>
      </c>
      <c r="B132" s="184">
        <f t="shared" si="35"/>
        <v>44317</v>
      </c>
      <c r="C132" s="207">
        <f t="shared" si="37"/>
        <v>44350</v>
      </c>
      <c r="D132" s="207">
        <f t="shared" si="37"/>
        <v>44371</v>
      </c>
      <c r="E132" s="54" t="s">
        <v>15</v>
      </c>
      <c r="F132" s="149">
        <v>9</v>
      </c>
      <c r="G132" s="187">
        <v>4</v>
      </c>
      <c r="H132" s="188">
        <f t="shared" si="25"/>
        <v>1.1251790663222052</v>
      </c>
      <c r="I132" s="188">
        <f t="shared" si="39"/>
        <v>1.3376212393608571</v>
      </c>
      <c r="J132" s="189">
        <f t="shared" si="36"/>
        <v>5.3504849574434283</v>
      </c>
      <c r="K132" s="190">
        <f t="shared" si="30"/>
        <v>4.5007162652888208</v>
      </c>
      <c r="L132" s="191">
        <f t="shared" si="40"/>
        <v>0.84976869215460749</v>
      </c>
      <c r="M132" s="192">
        <f t="shared" si="26"/>
        <v>2.6477100003085542E-2</v>
      </c>
      <c r="N132" s="193">
        <f t="shared" si="27"/>
        <v>0.87624579215769305</v>
      </c>
      <c r="O132" s="192">
        <v>0</v>
      </c>
      <c r="P132" s="192">
        <v>0</v>
      </c>
      <c r="Q132" s="192">
        <v>0</v>
      </c>
      <c r="R132" s="193">
        <f t="shared" si="28"/>
        <v>0.87624579215769305</v>
      </c>
    </row>
    <row r="133" spans="1:18" x14ac:dyDescent="0.2">
      <c r="A133" s="149">
        <v>6</v>
      </c>
      <c r="B133" s="184">
        <f t="shared" si="35"/>
        <v>44348</v>
      </c>
      <c r="C133" s="207">
        <f t="shared" si="37"/>
        <v>44383</v>
      </c>
      <c r="D133" s="207">
        <f t="shared" si="37"/>
        <v>44401</v>
      </c>
      <c r="E133" s="54" t="s">
        <v>15</v>
      </c>
      <c r="F133" s="149">
        <v>9</v>
      </c>
      <c r="G133" s="187">
        <v>13</v>
      </c>
      <c r="H133" s="188">
        <f t="shared" si="25"/>
        <v>1.1251790663222052</v>
      </c>
      <c r="I133" s="188">
        <f t="shared" si="39"/>
        <v>1.3376212393608571</v>
      </c>
      <c r="J133" s="189">
        <f t="shared" si="36"/>
        <v>17.389076111691143</v>
      </c>
      <c r="K133" s="190">
        <f t="shared" si="30"/>
        <v>14.627327862188668</v>
      </c>
      <c r="L133" s="195">
        <f t="shared" si="40"/>
        <v>2.7617482495024746</v>
      </c>
      <c r="M133" s="192">
        <f t="shared" si="26"/>
        <v>8.605057501002801E-2</v>
      </c>
      <c r="N133" s="193">
        <f t="shared" si="27"/>
        <v>2.8477988245125028</v>
      </c>
      <c r="O133" s="192">
        <v>0</v>
      </c>
      <c r="P133" s="192">
        <v>0</v>
      </c>
      <c r="Q133" s="192">
        <v>0</v>
      </c>
      <c r="R133" s="193">
        <f t="shared" si="28"/>
        <v>2.8477988245125028</v>
      </c>
    </row>
    <row r="134" spans="1:18" x14ac:dyDescent="0.2">
      <c r="A134" s="112">
        <v>7</v>
      </c>
      <c r="B134" s="184">
        <f t="shared" si="35"/>
        <v>44378</v>
      </c>
      <c r="C134" s="207">
        <f t="shared" si="37"/>
        <v>44412</v>
      </c>
      <c r="D134" s="207">
        <f t="shared" si="37"/>
        <v>44432</v>
      </c>
      <c r="E134" s="54" t="s">
        <v>15</v>
      </c>
      <c r="F134" s="149">
        <v>9</v>
      </c>
      <c r="G134" s="187">
        <v>17</v>
      </c>
      <c r="H134" s="188">
        <f t="shared" si="25"/>
        <v>1.1251790663222052</v>
      </c>
      <c r="I134" s="188">
        <f t="shared" si="39"/>
        <v>1.3376212393608571</v>
      </c>
      <c r="J134" s="189">
        <f t="shared" si="36"/>
        <v>22.73956106913457</v>
      </c>
      <c r="K134" s="196">
        <f t="shared" ref="K134:K197" si="41">+$G134*H134</f>
        <v>19.128044127477487</v>
      </c>
      <c r="L134" s="195">
        <f t="shared" si="40"/>
        <v>3.6115169416570829</v>
      </c>
      <c r="M134" s="192">
        <f t="shared" si="26"/>
        <v>0.11252767501311356</v>
      </c>
      <c r="N134" s="193">
        <f t="shared" si="27"/>
        <v>3.7240446166701964</v>
      </c>
      <c r="O134" s="192">
        <v>0</v>
      </c>
      <c r="P134" s="192">
        <v>0</v>
      </c>
      <c r="Q134" s="192">
        <v>0</v>
      </c>
      <c r="R134" s="193">
        <f t="shared" si="28"/>
        <v>3.7240446166701964</v>
      </c>
    </row>
    <row r="135" spans="1:18" x14ac:dyDescent="0.2">
      <c r="A135" s="149">
        <v>8</v>
      </c>
      <c r="B135" s="184">
        <f t="shared" si="35"/>
        <v>44409</v>
      </c>
      <c r="C135" s="207">
        <f t="shared" si="37"/>
        <v>44442</v>
      </c>
      <c r="D135" s="207">
        <f t="shared" si="37"/>
        <v>44463</v>
      </c>
      <c r="E135" s="54" t="s">
        <v>15</v>
      </c>
      <c r="F135" s="149">
        <v>9</v>
      </c>
      <c r="G135" s="187">
        <v>17</v>
      </c>
      <c r="H135" s="188">
        <f t="shared" si="25"/>
        <v>1.1251790663222052</v>
      </c>
      <c r="I135" s="188">
        <f t="shared" si="39"/>
        <v>1.3376212393608571</v>
      </c>
      <c r="J135" s="189">
        <f t="shared" si="36"/>
        <v>22.73956106913457</v>
      </c>
      <c r="K135" s="196">
        <f t="shared" si="41"/>
        <v>19.128044127477487</v>
      </c>
      <c r="L135" s="195">
        <f t="shared" si="40"/>
        <v>3.6115169416570829</v>
      </c>
      <c r="M135" s="192">
        <f t="shared" si="26"/>
        <v>0.11252767501311356</v>
      </c>
      <c r="N135" s="193">
        <f t="shared" si="27"/>
        <v>3.7240446166701964</v>
      </c>
      <c r="O135" s="192">
        <v>0</v>
      </c>
      <c r="P135" s="192">
        <v>0</v>
      </c>
      <c r="Q135" s="192">
        <v>0</v>
      </c>
      <c r="R135" s="193">
        <f t="shared" si="28"/>
        <v>3.7240446166701964</v>
      </c>
    </row>
    <row r="136" spans="1:18" x14ac:dyDescent="0.2">
      <c r="A136" s="149">
        <v>9</v>
      </c>
      <c r="B136" s="184">
        <f t="shared" si="35"/>
        <v>44440</v>
      </c>
      <c r="C136" s="207">
        <f t="shared" si="37"/>
        <v>44474</v>
      </c>
      <c r="D136" s="207">
        <f t="shared" si="37"/>
        <v>44494</v>
      </c>
      <c r="E136" s="54" t="s">
        <v>15</v>
      </c>
      <c r="F136" s="149">
        <v>9</v>
      </c>
      <c r="G136" s="187">
        <v>16</v>
      </c>
      <c r="H136" s="188">
        <f t="shared" si="25"/>
        <v>1.1251790663222052</v>
      </c>
      <c r="I136" s="188">
        <f t="shared" si="39"/>
        <v>1.3376212393608571</v>
      </c>
      <c r="J136" s="189">
        <f t="shared" si="36"/>
        <v>21.401939829773713</v>
      </c>
      <c r="K136" s="196">
        <f t="shared" si="41"/>
        <v>18.002865061155283</v>
      </c>
      <c r="L136" s="195">
        <f t="shared" si="40"/>
        <v>3.3990747686184299</v>
      </c>
      <c r="M136" s="192">
        <f t="shared" si="26"/>
        <v>0.10590840001234217</v>
      </c>
      <c r="N136" s="193">
        <f t="shared" si="27"/>
        <v>3.5049831686307722</v>
      </c>
      <c r="O136" s="192">
        <v>0</v>
      </c>
      <c r="P136" s="192">
        <v>0</v>
      </c>
      <c r="Q136" s="192">
        <v>0</v>
      </c>
      <c r="R136" s="193">
        <f t="shared" si="28"/>
        <v>3.5049831686307722</v>
      </c>
    </row>
    <row r="137" spans="1:18" x14ac:dyDescent="0.2">
      <c r="A137" s="112">
        <v>10</v>
      </c>
      <c r="B137" s="184">
        <f t="shared" si="35"/>
        <v>44470</v>
      </c>
      <c r="C137" s="207">
        <f t="shared" si="37"/>
        <v>44503</v>
      </c>
      <c r="D137" s="207">
        <f t="shared" si="37"/>
        <v>44524</v>
      </c>
      <c r="E137" s="54" t="s">
        <v>15</v>
      </c>
      <c r="F137" s="149">
        <v>9</v>
      </c>
      <c r="G137" s="187">
        <v>5</v>
      </c>
      <c r="H137" s="188">
        <f t="shared" si="25"/>
        <v>1.1251790663222052</v>
      </c>
      <c r="I137" s="188">
        <f t="shared" si="39"/>
        <v>1.3376212393608571</v>
      </c>
      <c r="J137" s="189">
        <f t="shared" si="36"/>
        <v>6.6881061968042852</v>
      </c>
      <c r="K137" s="196">
        <f t="shared" si="41"/>
        <v>5.6258953316110265</v>
      </c>
      <c r="L137" s="195">
        <f t="shared" si="40"/>
        <v>1.0622108651932587</v>
      </c>
      <c r="M137" s="192">
        <f t="shared" si="26"/>
        <v>3.3096375003856926E-2</v>
      </c>
      <c r="N137" s="193">
        <f t="shared" si="27"/>
        <v>1.0953072401971156</v>
      </c>
      <c r="O137" s="192">
        <v>0</v>
      </c>
      <c r="P137" s="192">
        <v>0</v>
      </c>
      <c r="Q137" s="192">
        <v>0</v>
      </c>
      <c r="R137" s="193">
        <f t="shared" si="28"/>
        <v>1.0953072401971156</v>
      </c>
    </row>
    <row r="138" spans="1:18" x14ac:dyDescent="0.2">
      <c r="A138" s="149">
        <v>11</v>
      </c>
      <c r="B138" s="184">
        <f t="shared" si="35"/>
        <v>44501</v>
      </c>
      <c r="C138" s="207">
        <f t="shared" si="37"/>
        <v>44533</v>
      </c>
      <c r="D138" s="207">
        <f t="shared" si="37"/>
        <v>44557</v>
      </c>
      <c r="E138" s="54" t="s">
        <v>15</v>
      </c>
      <c r="F138" s="149">
        <v>9</v>
      </c>
      <c r="G138" s="187">
        <v>5</v>
      </c>
      <c r="H138" s="188">
        <f t="shared" si="25"/>
        <v>1.1251790663222052</v>
      </c>
      <c r="I138" s="188">
        <f t="shared" si="39"/>
        <v>1.3376212393608571</v>
      </c>
      <c r="J138" s="189">
        <f t="shared" si="36"/>
        <v>6.6881061968042852</v>
      </c>
      <c r="K138" s="196">
        <f t="shared" si="41"/>
        <v>5.6258953316110265</v>
      </c>
      <c r="L138" s="195">
        <f t="shared" si="40"/>
        <v>1.0622108651932587</v>
      </c>
      <c r="M138" s="192">
        <f t="shared" si="26"/>
        <v>3.3096375003856926E-2</v>
      </c>
      <c r="N138" s="193">
        <f t="shared" si="27"/>
        <v>1.0953072401971156</v>
      </c>
      <c r="O138" s="192">
        <v>0</v>
      </c>
      <c r="P138" s="192">
        <v>0</v>
      </c>
      <c r="Q138" s="192">
        <v>0</v>
      </c>
      <c r="R138" s="193">
        <f t="shared" si="28"/>
        <v>1.0953072401971156</v>
      </c>
    </row>
    <row r="139" spans="1:18" s="211" customFormat="1" x14ac:dyDescent="0.2">
      <c r="A139" s="149">
        <v>12</v>
      </c>
      <c r="B139" s="209">
        <f t="shared" si="35"/>
        <v>44531</v>
      </c>
      <c r="C139" s="207">
        <f t="shared" si="37"/>
        <v>44566</v>
      </c>
      <c r="D139" s="207">
        <f t="shared" si="37"/>
        <v>44585</v>
      </c>
      <c r="E139" s="210" t="s">
        <v>15</v>
      </c>
      <c r="F139" s="160">
        <v>9</v>
      </c>
      <c r="G139" s="187">
        <v>6</v>
      </c>
      <c r="H139" s="199">
        <f t="shared" si="25"/>
        <v>1.1251790663222052</v>
      </c>
      <c r="I139" s="199">
        <f t="shared" si="39"/>
        <v>1.3376212393608571</v>
      </c>
      <c r="J139" s="200">
        <f t="shared" si="36"/>
        <v>8.0257274361651429</v>
      </c>
      <c r="K139" s="201">
        <f t="shared" si="41"/>
        <v>6.7510743979332313</v>
      </c>
      <c r="L139" s="202">
        <f t="shared" si="40"/>
        <v>1.2746530382319117</v>
      </c>
      <c r="M139" s="192">
        <f t="shared" si="26"/>
        <v>3.971565000462831E-2</v>
      </c>
      <c r="N139" s="193">
        <f t="shared" si="27"/>
        <v>1.31436868823654</v>
      </c>
      <c r="O139" s="192">
        <v>0</v>
      </c>
      <c r="P139" s="192">
        <v>0</v>
      </c>
      <c r="Q139" s="192">
        <v>0</v>
      </c>
      <c r="R139" s="193">
        <f t="shared" si="28"/>
        <v>1.31436868823654</v>
      </c>
    </row>
    <row r="140" spans="1:18" x14ac:dyDescent="0.2">
      <c r="A140" s="112">
        <v>1</v>
      </c>
      <c r="B140" s="184">
        <f t="shared" si="35"/>
        <v>44197</v>
      </c>
      <c r="C140" s="204">
        <f t="shared" ref="C140:D151" si="42">+C128</f>
        <v>44230</v>
      </c>
      <c r="D140" s="204">
        <f t="shared" si="42"/>
        <v>44251</v>
      </c>
      <c r="E140" s="214" t="s">
        <v>16</v>
      </c>
      <c r="F140" s="149">
        <v>9</v>
      </c>
      <c r="G140" s="187">
        <v>3</v>
      </c>
      <c r="H140" s="188">
        <f t="shared" si="25"/>
        <v>1.1251790663222052</v>
      </c>
      <c r="I140" s="188">
        <f t="shared" si="39"/>
        <v>1.3376212393608571</v>
      </c>
      <c r="J140" s="189">
        <f t="shared" si="36"/>
        <v>4.0128637180825715</v>
      </c>
      <c r="K140" s="190">
        <f t="shared" si="41"/>
        <v>3.3755371989666156</v>
      </c>
      <c r="L140" s="191">
        <f t="shared" si="40"/>
        <v>0.63732651911595584</v>
      </c>
      <c r="M140" s="192">
        <f t="shared" si="26"/>
        <v>1.9857825002314155E-2</v>
      </c>
      <c r="N140" s="193">
        <f t="shared" si="27"/>
        <v>0.65718434411826998</v>
      </c>
      <c r="O140" s="192">
        <v>0</v>
      </c>
      <c r="P140" s="192">
        <v>0</v>
      </c>
      <c r="Q140" s="192">
        <v>0</v>
      </c>
      <c r="R140" s="193">
        <f t="shared" si="28"/>
        <v>0.65718434411826998</v>
      </c>
    </row>
    <row r="141" spans="1:18" x14ac:dyDescent="0.2">
      <c r="A141" s="149">
        <v>2</v>
      </c>
      <c r="B141" s="184">
        <f t="shared" si="35"/>
        <v>44228</v>
      </c>
      <c r="C141" s="207">
        <f t="shared" si="42"/>
        <v>44258</v>
      </c>
      <c r="D141" s="207">
        <f t="shared" si="42"/>
        <v>44279</v>
      </c>
      <c r="E141" s="54" t="s">
        <v>16</v>
      </c>
      <c r="F141" s="149">
        <v>9</v>
      </c>
      <c r="G141" s="187">
        <v>5</v>
      </c>
      <c r="H141" s="188">
        <f t="shared" si="25"/>
        <v>1.1251790663222052</v>
      </c>
      <c r="I141" s="188">
        <f t="shared" si="39"/>
        <v>1.3376212393608571</v>
      </c>
      <c r="J141" s="189">
        <f t="shared" si="36"/>
        <v>6.6881061968042852</v>
      </c>
      <c r="K141" s="190">
        <f t="shared" si="41"/>
        <v>5.6258953316110265</v>
      </c>
      <c r="L141" s="191">
        <f t="shared" si="40"/>
        <v>1.0622108651932587</v>
      </c>
      <c r="M141" s="192">
        <f t="shared" si="26"/>
        <v>3.3096375003856926E-2</v>
      </c>
      <c r="N141" s="193">
        <f t="shared" si="27"/>
        <v>1.0953072401971156</v>
      </c>
      <c r="O141" s="192">
        <v>0</v>
      </c>
      <c r="P141" s="192">
        <v>0</v>
      </c>
      <c r="Q141" s="192">
        <v>0</v>
      </c>
      <c r="R141" s="193">
        <f t="shared" si="28"/>
        <v>1.0953072401971156</v>
      </c>
    </row>
    <row r="142" spans="1:18" x14ac:dyDescent="0.2">
      <c r="A142" s="149">
        <v>3</v>
      </c>
      <c r="B142" s="184">
        <f t="shared" si="35"/>
        <v>44256</v>
      </c>
      <c r="C142" s="207">
        <f t="shared" si="42"/>
        <v>44291</v>
      </c>
      <c r="D142" s="207">
        <f t="shared" si="42"/>
        <v>44312</v>
      </c>
      <c r="E142" s="54" t="s">
        <v>16</v>
      </c>
      <c r="F142" s="149">
        <v>9</v>
      </c>
      <c r="G142" s="187">
        <v>4</v>
      </c>
      <c r="H142" s="188">
        <f t="shared" si="25"/>
        <v>1.1251790663222052</v>
      </c>
      <c r="I142" s="188">
        <f t="shared" si="39"/>
        <v>1.3376212393608571</v>
      </c>
      <c r="J142" s="189">
        <f t="shared" si="36"/>
        <v>5.3504849574434283</v>
      </c>
      <c r="K142" s="190">
        <f t="shared" si="41"/>
        <v>4.5007162652888208</v>
      </c>
      <c r="L142" s="191">
        <f>+J142-K142</f>
        <v>0.84976869215460749</v>
      </c>
      <c r="M142" s="192">
        <f t="shared" si="26"/>
        <v>2.6477100003085542E-2</v>
      </c>
      <c r="N142" s="193">
        <f t="shared" si="27"/>
        <v>0.87624579215769305</v>
      </c>
      <c r="O142" s="192">
        <v>0</v>
      </c>
      <c r="P142" s="192">
        <v>0</v>
      </c>
      <c r="Q142" s="192">
        <v>0</v>
      </c>
      <c r="R142" s="193">
        <f t="shared" si="28"/>
        <v>0.87624579215769305</v>
      </c>
    </row>
    <row r="143" spans="1:18" x14ac:dyDescent="0.2">
      <c r="A143" s="112">
        <v>4</v>
      </c>
      <c r="B143" s="184">
        <f t="shared" si="35"/>
        <v>44287</v>
      </c>
      <c r="C143" s="207">
        <f t="shared" si="42"/>
        <v>44321</v>
      </c>
      <c r="D143" s="207">
        <f t="shared" si="42"/>
        <v>44340</v>
      </c>
      <c r="E143" s="54" t="s">
        <v>16</v>
      </c>
      <c r="F143" s="149">
        <v>9</v>
      </c>
      <c r="G143" s="187">
        <v>4</v>
      </c>
      <c r="H143" s="188">
        <f t="shared" si="25"/>
        <v>1.1251790663222052</v>
      </c>
      <c r="I143" s="188">
        <f t="shared" si="39"/>
        <v>1.3376212393608571</v>
      </c>
      <c r="J143" s="189">
        <f t="shared" si="36"/>
        <v>5.3504849574434283</v>
      </c>
      <c r="K143" s="190">
        <f t="shared" si="41"/>
        <v>4.5007162652888208</v>
      </c>
      <c r="L143" s="191">
        <f t="shared" ref="L143:L153" si="43">+J143-K143</f>
        <v>0.84976869215460749</v>
      </c>
      <c r="M143" s="192">
        <f t="shared" si="26"/>
        <v>2.6477100003085542E-2</v>
      </c>
      <c r="N143" s="193">
        <f t="shared" si="27"/>
        <v>0.87624579215769305</v>
      </c>
      <c r="O143" s="192">
        <v>0</v>
      </c>
      <c r="P143" s="192">
        <v>0</v>
      </c>
      <c r="Q143" s="192">
        <v>0</v>
      </c>
      <c r="R143" s="193">
        <f t="shared" si="28"/>
        <v>0.87624579215769305</v>
      </c>
    </row>
    <row r="144" spans="1:18" x14ac:dyDescent="0.2">
      <c r="A144" s="149">
        <v>5</v>
      </c>
      <c r="B144" s="184">
        <f t="shared" si="35"/>
        <v>44317</v>
      </c>
      <c r="C144" s="207">
        <f t="shared" si="42"/>
        <v>44350</v>
      </c>
      <c r="D144" s="207">
        <f t="shared" si="42"/>
        <v>44371</v>
      </c>
      <c r="E144" s="54" t="s">
        <v>16</v>
      </c>
      <c r="F144" s="149">
        <v>9</v>
      </c>
      <c r="G144" s="187">
        <v>3</v>
      </c>
      <c r="H144" s="188">
        <f t="shared" si="25"/>
        <v>1.1251790663222052</v>
      </c>
      <c r="I144" s="188">
        <f t="shared" si="39"/>
        <v>1.3376212393608571</v>
      </c>
      <c r="J144" s="189">
        <f t="shared" si="36"/>
        <v>4.0128637180825715</v>
      </c>
      <c r="K144" s="190">
        <f t="shared" si="41"/>
        <v>3.3755371989666156</v>
      </c>
      <c r="L144" s="191">
        <f t="shared" si="43"/>
        <v>0.63732651911595584</v>
      </c>
      <c r="M144" s="192">
        <f t="shared" si="26"/>
        <v>1.9857825002314155E-2</v>
      </c>
      <c r="N144" s="193">
        <f t="shared" si="27"/>
        <v>0.65718434411826998</v>
      </c>
      <c r="O144" s="192">
        <v>0</v>
      </c>
      <c r="P144" s="192">
        <v>0</v>
      </c>
      <c r="Q144" s="192">
        <v>0</v>
      </c>
      <c r="R144" s="193">
        <f t="shared" si="28"/>
        <v>0.65718434411826998</v>
      </c>
    </row>
    <row r="145" spans="1:19" x14ac:dyDescent="0.2">
      <c r="A145" s="149">
        <v>6</v>
      </c>
      <c r="B145" s="184">
        <f t="shared" si="35"/>
        <v>44348</v>
      </c>
      <c r="C145" s="207">
        <f t="shared" si="42"/>
        <v>44383</v>
      </c>
      <c r="D145" s="207">
        <f t="shared" si="42"/>
        <v>44401</v>
      </c>
      <c r="E145" s="54" t="s">
        <v>16</v>
      </c>
      <c r="F145" s="149">
        <v>9</v>
      </c>
      <c r="G145" s="187">
        <v>5</v>
      </c>
      <c r="H145" s="188">
        <f t="shared" si="25"/>
        <v>1.1251790663222052</v>
      </c>
      <c r="I145" s="188">
        <f t="shared" si="39"/>
        <v>1.3376212393608571</v>
      </c>
      <c r="J145" s="189">
        <f t="shared" si="36"/>
        <v>6.6881061968042852</v>
      </c>
      <c r="K145" s="190">
        <f t="shared" si="41"/>
        <v>5.6258953316110265</v>
      </c>
      <c r="L145" s="195">
        <f t="shared" si="43"/>
        <v>1.0622108651932587</v>
      </c>
      <c r="M145" s="192">
        <f t="shared" si="26"/>
        <v>3.3096375003856926E-2</v>
      </c>
      <c r="N145" s="193">
        <f t="shared" si="27"/>
        <v>1.0953072401971156</v>
      </c>
      <c r="O145" s="192">
        <v>0</v>
      </c>
      <c r="P145" s="192">
        <v>0</v>
      </c>
      <c r="Q145" s="192">
        <v>0</v>
      </c>
      <c r="R145" s="193">
        <f t="shared" si="28"/>
        <v>1.0953072401971156</v>
      </c>
    </row>
    <row r="146" spans="1:19" x14ac:dyDescent="0.2">
      <c r="A146" s="112">
        <v>7</v>
      </c>
      <c r="B146" s="184">
        <f t="shared" si="35"/>
        <v>44378</v>
      </c>
      <c r="C146" s="207">
        <f t="shared" si="42"/>
        <v>44412</v>
      </c>
      <c r="D146" s="207">
        <f t="shared" si="42"/>
        <v>44432</v>
      </c>
      <c r="E146" s="54" t="s">
        <v>16</v>
      </c>
      <c r="F146" s="149">
        <v>9</v>
      </c>
      <c r="G146" s="187">
        <v>5</v>
      </c>
      <c r="H146" s="188">
        <f t="shared" si="25"/>
        <v>1.1251790663222052</v>
      </c>
      <c r="I146" s="188">
        <f t="shared" si="39"/>
        <v>1.3376212393608571</v>
      </c>
      <c r="J146" s="189">
        <f t="shared" si="36"/>
        <v>6.6881061968042852</v>
      </c>
      <c r="K146" s="196">
        <f t="shared" si="41"/>
        <v>5.6258953316110265</v>
      </c>
      <c r="L146" s="195">
        <f t="shared" si="43"/>
        <v>1.0622108651932587</v>
      </c>
      <c r="M146" s="192">
        <f t="shared" si="26"/>
        <v>3.3096375003856926E-2</v>
      </c>
      <c r="N146" s="193">
        <f t="shared" si="27"/>
        <v>1.0953072401971156</v>
      </c>
      <c r="O146" s="192">
        <v>0</v>
      </c>
      <c r="P146" s="192">
        <v>0</v>
      </c>
      <c r="Q146" s="192">
        <v>0</v>
      </c>
      <c r="R146" s="193">
        <f t="shared" si="28"/>
        <v>1.0953072401971156</v>
      </c>
    </row>
    <row r="147" spans="1:19" x14ac:dyDescent="0.2">
      <c r="A147" s="149">
        <v>8</v>
      </c>
      <c r="B147" s="184">
        <f t="shared" si="35"/>
        <v>44409</v>
      </c>
      <c r="C147" s="207">
        <f t="shared" si="42"/>
        <v>44442</v>
      </c>
      <c r="D147" s="207">
        <f t="shared" si="42"/>
        <v>44463</v>
      </c>
      <c r="E147" s="54" t="s">
        <v>16</v>
      </c>
      <c r="F147" s="149">
        <v>9</v>
      </c>
      <c r="G147" s="187">
        <v>4</v>
      </c>
      <c r="H147" s="188">
        <f t="shared" si="25"/>
        <v>1.1251790663222052</v>
      </c>
      <c r="I147" s="188">
        <f t="shared" si="39"/>
        <v>1.3376212393608571</v>
      </c>
      <c r="J147" s="189">
        <f t="shared" si="36"/>
        <v>5.3504849574434283</v>
      </c>
      <c r="K147" s="196">
        <f t="shared" si="41"/>
        <v>4.5007162652888208</v>
      </c>
      <c r="L147" s="195">
        <f t="shared" si="43"/>
        <v>0.84976869215460749</v>
      </c>
      <c r="M147" s="192">
        <f t="shared" si="26"/>
        <v>2.6477100003085542E-2</v>
      </c>
      <c r="N147" s="193">
        <f t="shared" si="27"/>
        <v>0.87624579215769305</v>
      </c>
      <c r="O147" s="192">
        <v>0</v>
      </c>
      <c r="P147" s="192">
        <v>0</v>
      </c>
      <c r="Q147" s="192">
        <v>0</v>
      </c>
      <c r="R147" s="193">
        <f t="shared" si="28"/>
        <v>0.87624579215769305</v>
      </c>
    </row>
    <row r="148" spans="1:19" x14ac:dyDescent="0.2">
      <c r="A148" s="149">
        <v>9</v>
      </c>
      <c r="B148" s="184">
        <f t="shared" si="35"/>
        <v>44440</v>
      </c>
      <c r="C148" s="207">
        <f t="shared" si="42"/>
        <v>44474</v>
      </c>
      <c r="D148" s="207">
        <f t="shared" si="42"/>
        <v>44494</v>
      </c>
      <c r="E148" s="54" t="s">
        <v>16</v>
      </c>
      <c r="F148" s="149">
        <v>9</v>
      </c>
      <c r="G148" s="187">
        <v>4</v>
      </c>
      <c r="H148" s="188">
        <f t="shared" si="25"/>
        <v>1.1251790663222052</v>
      </c>
      <c r="I148" s="188">
        <f t="shared" ref="I148:I179" si="44">$J$3</f>
        <v>1.3376212393608571</v>
      </c>
      <c r="J148" s="189">
        <f t="shared" si="36"/>
        <v>5.3504849574434283</v>
      </c>
      <c r="K148" s="196">
        <f t="shared" si="41"/>
        <v>4.5007162652888208</v>
      </c>
      <c r="L148" s="195">
        <f t="shared" si="43"/>
        <v>0.84976869215460749</v>
      </c>
      <c r="M148" s="192">
        <f t="shared" si="26"/>
        <v>2.6477100003085542E-2</v>
      </c>
      <c r="N148" s="193">
        <f t="shared" si="27"/>
        <v>0.87624579215769305</v>
      </c>
      <c r="O148" s="192">
        <v>0</v>
      </c>
      <c r="P148" s="192">
        <v>0</v>
      </c>
      <c r="Q148" s="192">
        <v>0</v>
      </c>
      <c r="R148" s="193">
        <f t="shared" si="28"/>
        <v>0.87624579215769305</v>
      </c>
    </row>
    <row r="149" spans="1:19" x14ac:dyDescent="0.2">
      <c r="A149" s="112">
        <v>10</v>
      </c>
      <c r="B149" s="184">
        <f t="shared" ref="B149:B211" si="45">DATE($R$1,A149,1)</f>
        <v>44470</v>
      </c>
      <c r="C149" s="207">
        <f t="shared" si="42"/>
        <v>44503</v>
      </c>
      <c r="D149" s="207">
        <f t="shared" si="42"/>
        <v>44524</v>
      </c>
      <c r="E149" s="54" t="s">
        <v>16</v>
      </c>
      <c r="F149" s="149">
        <v>9</v>
      </c>
      <c r="G149" s="187">
        <v>4</v>
      </c>
      <c r="H149" s="188">
        <f t="shared" ref="H149:H211" si="46">+$K$3</f>
        <v>1.1251790663222052</v>
      </c>
      <c r="I149" s="188">
        <f t="shared" si="44"/>
        <v>1.3376212393608571</v>
      </c>
      <c r="J149" s="189">
        <f t="shared" ref="J149:J211" si="47">+$G149*I149</f>
        <v>5.3504849574434283</v>
      </c>
      <c r="K149" s="196">
        <f t="shared" si="41"/>
        <v>4.5007162652888208</v>
      </c>
      <c r="L149" s="195">
        <f t="shared" si="43"/>
        <v>0.84976869215460749</v>
      </c>
      <c r="M149" s="192">
        <f t="shared" ref="M149:M211" si="48">G149/$G$212*$M$14</f>
        <v>2.6477100003085542E-2</v>
      </c>
      <c r="N149" s="193">
        <f t="shared" ref="N149:N211" si="49">SUM(L149:M149)</f>
        <v>0.87624579215769305</v>
      </c>
      <c r="O149" s="192">
        <v>0</v>
      </c>
      <c r="P149" s="192">
        <v>0</v>
      </c>
      <c r="Q149" s="192">
        <v>0</v>
      </c>
      <c r="R149" s="193">
        <f t="shared" ref="R149:R211" si="50">+N149-Q149</f>
        <v>0.87624579215769305</v>
      </c>
    </row>
    <row r="150" spans="1:19" x14ac:dyDescent="0.2">
      <c r="A150" s="149">
        <v>11</v>
      </c>
      <c r="B150" s="184">
        <f t="shared" si="45"/>
        <v>44501</v>
      </c>
      <c r="C150" s="207">
        <f t="shared" si="42"/>
        <v>44533</v>
      </c>
      <c r="D150" s="207">
        <f t="shared" si="42"/>
        <v>44557</v>
      </c>
      <c r="E150" s="54" t="s">
        <v>16</v>
      </c>
      <c r="F150" s="149">
        <v>9</v>
      </c>
      <c r="G150" s="187">
        <v>4</v>
      </c>
      <c r="H150" s="188">
        <f t="shared" si="46"/>
        <v>1.1251790663222052</v>
      </c>
      <c r="I150" s="188">
        <f t="shared" si="44"/>
        <v>1.3376212393608571</v>
      </c>
      <c r="J150" s="189">
        <f t="shared" si="47"/>
        <v>5.3504849574434283</v>
      </c>
      <c r="K150" s="196">
        <f t="shared" si="41"/>
        <v>4.5007162652888208</v>
      </c>
      <c r="L150" s="195">
        <f t="shared" si="43"/>
        <v>0.84976869215460749</v>
      </c>
      <c r="M150" s="192">
        <f t="shared" si="48"/>
        <v>2.6477100003085542E-2</v>
      </c>
      <c r="N150" s="193">
        <f t="shared" si="49"/>
        <v>0.87624579215769305</v>
      </c>
      <c r="O150" s="192">
        <v>0</v>
      </c>
      <c r="P150" s="192">
        <v>0</v>
      </c>
      <c r="Q150" s="192">
        <v>0</v>
      </c>
      <c r="R150" s="193">
        <f t="shared" si="50"/>
        <v>0.87624579215769305</v>
      </c>
    </row>
    <row r="151" spans="1:19" s="211" customFormat="1" x14ac:dyDescent="0.2">
      <c r="A151" s="149">
        <v>12</v>
      </c>
      <c r="B151" s="209">
        <f t="shared" si="45"/>
        <v>44531</v>
      </c>
      <c r="C151" s="207">
        <f t="shared" si="42"/>
        <v>44566</v>
      </c>
      <c r="D151" s="207">
        <f t="shared" si="42"/>
        <v>44585</v>
      </c>
      <c r="E151" s="210" t="s">
        <v>16</v>
      </c>
      <c r="F151" s="160">
        <v>9</v>
      </c>
      <c r="G151" s="187">
        <v>1</v>
      </c>
      <c r="H151" s="199">
        <f t="shared" si="46"/>
        <v>1.1251790663222052</v>
      </c>
      <c r="I151" s="199">
        <f t="shared" si="44"/>
        <v>1.3376212393608571</v>
      </c>
      <c r="J151" s="200">
        <f t="shared" si="47"/>
        <v>1.3376212393608571</v>
      </c>
      <c r="K151" s="201">
        <f t="shared" si="41"/>
        <v>1.1251790663222052</v>
      </c>
      <c r="L151" s="202">
        <f t="shared" si="43"/>
        <v>0.21244217303865187</v>
      </c>
      <c r="M151" s="192">
        <f t="shared" si="48"/>
        <v>6.6192750007713855E-3</v>
      </c>
      <c r="N151" s="193">
        <f t="shared" si="49"/>
        <v>0.21906144803942326</v>
      </c>
      <c r="O151" s="192">
        <v>0</v>
      </c>
      <c r="P151" s="192">
        <v>0</v>
      </c>
      <c r="Q151" s="192">
        <v>0</v>
      </c>
      <c r="R151" s="193">
        <f t="shared" si="50"/>
        <v>0.21906144803942326</v>
      </c>
    </row>
    <row r="152" spans="1:19" x14ac:dyDescent="0.2">
      <c r="A152" s="112">
        <v>1</v>
      </c>
      <c r="B152" s="184">
        <f t="shared" si="45"/>
        <v>44197</v>
      </c>
      <c r="C152" s="204">
        <f t="shared" ref="C152:D171" si="51">+C140</f>
        <v>44230</v>
      </c>
      <c r="D152" s="204">
        <f t="shared" si="51"/>
        <v>44251</v>
      </c>
      <c r="E152" s="214" t="s">
        <v>56</v>
      </c>
      <c r="F152" s="112">
        <v>9</v>
      </c>
      <c r="G152" s="187">
        <v>104</v>
      </c>
      <c r="H152" s="188">
        <f t="shared" si="46"/>
        <v>1.1251790663222052</v>
      </c>
      <c r="I152" s="188">
        <f t="shared" si="44"/>
        <v>1.3376212393608571</v>
      </c>
      <c r="J152" s="189">
        <f t="shared" si="47"/>
        <v>139.11260889352914</v>
      </c>
      <c r="K152" s="190">
        <f t="shared" si="41"/>
        <v>117.01862289750935</v>
      </c>
      <c r="L152" s="191">
        <f t="shared" si="43"/>
        <v>22.093985996019796</v>
      </c>
      <c r="M152" s="192">
        <f t="shared" si="48"/>
        <v>0.68840460008022408</v>
      </c>
      <c r="N152" s="193">
        <f t="shared" si="49"/>
        <v>22.782390596100022</v>
      </c>
      <c r="O152" s="192">
        <v>0</v>
      </c>
      <c r="P152" s="192">
        <v>0</v>
      </c>
      <c r="Q152" s="192">
        <v>0</v>
      </c>
      <c r="R152" s="193">
        <f t="shared" si="50"/>
        <v>22.782390596100022</v>
      </c>
    </row>
    <row r="153" spans="1:19" x14ac:dyDescent="0.2">
      <c r="A153" s="149">
        <v>2</v>
      </c>
      <c r="B153" s="184">
        <f t="shared" si="45"/>
        <v>44228</v>
      </c>
      <c r="C153" s="207">
        <f t="shared" si="51"/>
        <v>44258</v>
      </c>
      <c r="D153" s="207">
        <f t="shared" si="51"/>
        <v>44279</v>
      </c>
      <c r="E153" s="215" t="s">
        <v>56</v>
      </c>
      <c r="F153" s="149">
        <v>9</v>
      </c>
      <c r="G153" s="187">
        <v>133</v>
      </c>
      <c r="H153" s="188">
        <f t="shared" si="46"/>
        <v>1.1251790663222052</v>
      </c>
      <c r="I153" s="188">
        <f t="shared" si="44"/>
        <v>1.3376212393608571</v>
      </c>
      <c r="J153" s="189">
        <f t="shared" si="47"/>
        <v>177.90362483499399</v>
      </c>
      <c r="K153" s="190">
        <f t="shared" si="41"/>
        <v>149.64881582085329</v>
      </c>
      <c r="L153" s="191">
        <f t="shared" si="43"/>
        <v>28.254809014140704</v>
      </c>
      <c r="M153" s="192">
        <f t="shared" si="48"/>
        <v>0.88036357510259422</v>
      </c>
      <c r="N153" s="193">
        <f t="shared" si="49"/>
        <v>29.1351725892433</v>
      </c>
      <c r="O153" s="192">
        <v>0</v>
      </c>
      <c r="P153" s="192">
        <v>0</v>
      </c>
      <c r="Q153" s="192">
        <v>0</v>
      </c>
      <c r="R153" s="193">
        <f t="shared" si="50"/>
        <v>29.1351725892433</v>
      </c>
    </row>
    <row r="154" spans="1:19" x14ac:dyDescent="0.2">
      <c r="A154" s="149">
        <v>3</v>
      </c>
      <c r="B154" s="184">
        <f t="shared" si="45"/>
        <v>44256</v>
      </c>
      <c r="C154" s="207">
        <f t="shared" si="51"/>
        <v>44291</v>
      </c>
      <c r="D154" s="207">
        <f t="shared" si="51"/>
        <v>44312</v>
      </c>
      <c r="E154" s="215" t="s">
        <v>56</v>
      </c>
      <c r="F154" s="149">
        <v>9</v>
      </c>
      <c r="G154" s="187">
        <v>87</v>
      </c>
      <c r="H154" s="188">
        <f t="shared" si="46"/>
        <v>1.1251790663222052</v>
      </c>
      <c r="I154" s="188">
        <f t="shared" si="44"/>
        <v>1.3376212393608571</v>
      </c>
      <c r="J154" s="189">
        <f t="shared" si="47"/>
        <v>116.37304782439456</v>
      </c>
      <c r="K154" s="190">
        <f t="shared" si="41"/>
        <v>97.890578770031851</v>
      </c>
      <c r="L154" s="191">
        <f>+J154-K154</f>
        <v>18.48246905436271</v>
      </c>
      <c r="M154" s="192">
        <f t="shared" si="48"/>
        <v>0.57587692506711052</v>
      </c>
      <c r="N154" s="193">
        <f t="shared" si="49"/>
        <v>19.05834597942982</v>
      </c>
      <c r="O154" s="192">
        <v>0</v>
      </c>
      <c r="P154" s="192">
        <v>0</v>
      </c>
      <c r="Q154" s="192">
        <v>0</v>
      </c>
      <c r="R154" s="193">
        <f t="shared" si="50"/>
        <v>19.05834597942982</v>
      </c>
    </row>
    <row r="155" spans="1:19" x14ac:dyDescent="0.2">
      <c r="A155" s="112">
        <v>4</v>
      </c>
      <c r="B155" s="184">
        <f t="shared" si="45"/>
        <v>44287</v>
      </c>
      <c r="C155" s="207">
        <f t="shared" si="51"/>
        <v>44321</v>
      </c>
      <c r="D155" s="207">
        <f t="shared" si="51"/>
        <v>44340</v>
      </c>
      <c r="E155" s="215" t="s">
        <v>56</v>
      </c>
      <c r="F155" s="149">
        <v>9</v>
      </c>
      <c r="G155" s="187">
        <v>77</v>
      </c>
      <c r="H155" s="188">
        <f t="shared" si="46"/>
        <v>1.1251790663222052</v>
      </c>
      <c r="I155" s="188">
        <f t="shared" si="44"/>
        <v>1.3376212393608571</v>
      </c>
      <c r="J155" s="189">
        <f t="shared" si="47"/>
        <v>102.99683543078599</v>
      </c>
      <c r="K155" s="190">
        <f t="shared" si="41"/>
        <v>86.638788106809798</v>
      </c>
      <c r="L155" s="191">
        <f t="shared" ref="L155:L165" si="52">+J155-K155</f>
        <v>16.358047323976194</v>
      </c>
      <c r="M155" s="192">
        <f t="shared" si="48"/>
        <v>0.50968417505939667</v>
      </c>
      <c r="N155" s="193">
        <f t="shared" si="49"/>
        <v>16.867731499035592</v>
      </c>
      <c r="O155" s="192">
        <v>0</v>
      </c>
      <c r="P155" s="192">
        <v>0</v>
      </c>
      <c r="Q155" s="192">
        <v>0</v>
      </c>
      <c r="R155" s="193">
        <f t="shared" si="50"/>
        <v>16.867731499035592</v>
      </c>
    </row>
    <row r="156" spans="1:19" x14ac:dyDescent="0.2">
      <c r="A156" s="149">
        <v>5</v>
      </c>
      <c r="B156" s="184">
        <f t="shared" si="45"/>
        <v>44317</v>
      </c>
      <c r="C156" s="207">
        <f t="shared" si="51"/>
        <v>44350</v>
      </c>
      <c r="D156" s="207">
        <f t="shared" si="51"/>
        <v>44371</v>
      </c>
      <c r="E156" s="215" t="s">
        <v>56</v>
      </c>
      <c r="F156" s="149">
        <v>9</v>
      </c>
      <c r="G156" s="187">
        <v>104</v>
      </c>
      <c r="H156" s="188">
        <f t="shared" si="46"/>
        <v>1.1251790663222052</v>
      </c>
      <c r="I156" s="188">
        <f t="shared" si="44"/>
        <v>1.3376212393608571</v>
      </c>
      <c r="J156" s="189">
        <f t="shared" si="47"/>
        <v>139.11260889352914</v>
      </c>
      <c r="K156" s="190">
        <f t="shared" si="41"/>
        <v>117.01862289750935</v>
      </c>
      <c r="L156" s="191">
        <f t="shared" si="52"/>
        <v>22.093985996019796</v>
      </c>
      <c r="M156" s="192">
        <f t="shared" si="48"/>
        <v>0.68840460008022408</v>
      </c>
      <c r="N156" s="193">
        <f t="shared" si="49"/>
        <v>22.782390596100022</v>
      </c>
      <c r="O156" s="192">
        <v>0</v>
      </c>
      <c r="P156" s="192">
        <v>0</v>
      </c>
      <c r="Q156" s="192">
        <v>0</v>
      </c>
      <c r="R156" s="193">
        <f t="shared" si="50"/>
        <v>22.782390596100022</v>
      </c>
    </row>
    <row r="157" spans="1:19" x14ac:dyDescent="0.2">
      <c r="A157" s="149">
        <v>6</v>
      </c>
      <c r="B157" s="184">
        <f t="shared" si="45"/>
        <v>44348</v>
      </c>
      <c r="C157" s="207">
        <f t="shared" si="51"/>
        <v>44383</v>
      </c>
      <c r="D157" s="207">
        <f t="shared" si="51"/>
        <v>44401</v>
      </c>
      <c r="E157" s="215" t="s">
        <v>56</v>
      </c>
      <c r="F157" s="149">
        <v>9</v>
      </c>
      <c r="G157" s="187">
        <v>144</v>
      </c>
      <c r="H157" s="188">
        <f t="shared" si="46"/>
        <v>1.1251790663222052</v>
      </c>
      <c r="I157" s="188">
        <f t="shared" si="44"/>
        <v>1.3376212393608571</v>
      </c>
      <c r="J157" s="189">
        <f t="shared" si="47"/>
        <v>192.61745846796342</v>
      </c>
      <c r="K157" s="190">
        <f t="shared" si="41"/>
        <v>162.02578555039756</v>
      </c>
      <c r="L157" s="195">
        <f t="shared" si="52"/>
        <v>30.591672917565859</v>
      </c>
      <c r="M157" s="192">
        <f t="shared" si="48"/>
        <v>0.9531756001110796</v>
      </c>
      <c r="N157" s="193">
        <f t="shared" si="49"/>
        <v>31.54484851767694</v>
      </c>
      <c r="O157" s="192">
        <v>0</v>
      </c>
      <c r="P157" s="192">
        <v>0</v>
      </c>
      <c r="Q157" s="192">
        <v>0</v>
      </c>
      <c r="R157" s="193">
        <f t="shared" si="50"/>
        <v>31.54484851767694</v>
      </c>
    </row>
    <row r="158" spans="1:19" x14ac:dyDescent="0.2">
      <c r="A158" s="112">
        <v>7</v>
      </c>
      <c r="B158" s="184">
        <f t="shared" si="45"/>
        <v>44378</v>
      </c>
      <c r="C158" s="207">
        <f t="shared" si="51"/>
        <v>44412</v>
      </c>
      <c r="D158" s="207">
        <f t="shared" si="51"/>
        <v>44432</v>
      </c>
      <c r="E158" s="215" t="s">
        <v>56</v>
      </c>
      <c r="F158" s="149">
        <v>9</v>
      </c>
      <c r="G158" s="187">
        <v>161</v>
      </c>
      <c r="H158" s="188">
        <f t="shared" si="46"/>
        <v>1.1251790663222052</v>
      </c>
      <c r="I158" s="188">
        <f t="shared" si="44"/>
        <v>1.3376212393608571</v>
      </c>
      <c r="J158" s="189">
        <f t="shared" si="47"/>
        <v>215.35701953709798</v>
      </c>
      <c r="K158" s="196">
        <f t="shared" si="41"/>
        <v>181.15382967787505</v>
      </c>
      <c r="L158" s="195">
        <f t="shared" si="52"/>
        <v>34.203189859222931</v>
      </c>
      <c r="M158" s="192">
        <f t="shared" si="48"/>
        <v>1.0657032751241931</v>
      </c>
      <c r="N158" s="193">
        <f t="shared" si="49"/>
        <v>35.268893134347124</v>
      </c>
      <c r="O158" s="192">
        <v>0</v>
      </c>
      <c r="P158" s="192">
        <v>0</v>
      </c>
      <c r="Q158" s="192">
        <v>0</v>
      </c>
      <c r="R158" s="193">
        <f t="shared" si="50"/>
        <v>35.268893134347124</v>
      </c>
    </row>
    <row r="159" spans="1:19" x14ac:dyDescent="0.2">
      <c r="A159" s="149">
        <v>8</v>
      </c>
      <c r="B159" s="184">
        <f t="shared" si="45"/>
        <v>44409</v>
      </c>
      <c r="C159" s="207">
        <f t="shared" si="51"/>
        <v>44442</v>
      </c>
      <c r="D159" s="207">
        <f t="shared" si="51"/>
        <v>44463</v>
      </c>
      <c r="E159" s="215" t="s">
        <v>56</v>
      </c>
      <c r="F159" s="112">
        <v>9</v>
      </c>
      <c r="G159" s="187">
        <v>163</v>
      </c>
      <c r="H159" s="188">
        <f t="shared" si="46"/>
        <v>1.1251790663222052</v>
      </c>
      <c r="I159" s="188">
        <f t="shared" si="44"/>
        <v>1.3376212393608571</v>
      </c>
      <c r="J159" s="189">
        <f t="shared" si="47"/>
        <v>218.0322620158197</v>
      </c>
      <c r="K159" s="196">
        <f t="shared" si="41"/>
        <v>183.40418781051946</v>
      </c>
      <c r="L159" s="195">
        <f t="shared" si="52"/>
        <v>34.628074205300237</v>
      </c>
      <c r="M159" s="192">
        <f t="shared" si="48"/>
        <v>1.0789418251257359</v>
      </c>
      <c r="N159" s="193">
        <f t="shared" si="49"/>
        <v>35.707016030425976</v>
      </c>
      <c r="O159" s="192">
        <v>0</v>
      </c>
      <c r="P159" s="192">
        <v>0</v>
      </c>
      <c r="Q159" s="192">
        <v>0</v>
      </c>
      <c r="R159" s="193">
        <f t="shared" si="50"/>
        <v>35.707016030425976</v>
      </c>
      <c r="S159" s="52"/>
    </row>
    <row r="160" spans="1:19" x14ac:dyDescent="0.2">
      <c r="A160" s="149">
        <v>9</v>
      </c>
      <c r="B160" s="184">
        <f t="shared" si="45"/>
        <v>44440</v>
      </c>
      <c r="C160" s="207">
        <f t="shared" si="51"/>
        <v>44474</v>
      </c>
      <c r="D160" s="207">
        <f t="shared" si="51"/>
        <v>44494</v>
      </c>
      <c r="E160" s="215" t="s">
        <v>56</v>
      </c>
      <c r="F160" s="112">
        <v>9</v>
      </c>
      <c r="G160" s="187">
        <v>153</v>
      </c>
      <c r="H160" s="188">
        <f t="shared" si="46"/>
        <v>1.1251790663222052</v>
      </c>
      <c r="I160" s="188">
        <f t="shared" si="44"/>
        <v>1.3376212393608571</v>
      </c>
      <c r="J160" s="189">
        <f t="shared" si="47"/>
        <v>204.65604962221113</v>
      </c>
      <c r="K160" s="196">
        <f t="shared" si="41"/>
        <v>172.15239714729739</v>
      </c>
      <c r="L160" s="195">
        <f t="shared" si="52"/>
        <v>32.503652474913736</v>
      </c>
      <c r="M160" s="192">
        <f t="shared" si="48"/>
        <v>1.0127490751180219</v>
      </c>
      <c r="N160" s="193">
        <f t="shared" si="49"/>
        <v>33.516401550031759</v>
      </c>
      <c r="O160" s="192">
        <v>0</v>
      </c>
      <c r="P160" s="192">
        <v>0</v>
      </c>
      <c r="Q160" s="192">
        <v>0</v>
      </c>
      <c r="R160" s="193">
        <f t="shared" si="50"/>
        <v>33.516401550031759</v>
      </c>
    </row>
    <row r="161" spans="1:19" x14ac:dyDescent="0.2">
      <c r="A161" s="112">
        <v>10</v>
      </c>
      <c r="B161" s="184">
        <f t="shared" si="45"/>
        <v>44470</v>
      </c>
      <c r="C161" s="207">
        <f t="shared" si="51"/>
        <v>44503</v>
      </c>
      <c r="D161" s="207">
        <f t="shared" si="51"/>
        <v>44524</v>
      </c>
      <c r="E161" s="215" t="s">
        <v>56</v>
      </c>
      <c r="F161" s="112">
        <v>9</v>
      </c>
      <c r="G161" s="187">
        <v>117</v>
      </c>
      <c r="H161" s="188">
        <f t="shared" si="46"/>
        <v>1.1251790663222052</v>
      </c>
      <c r="I161" s="188">
        <f t="shared" si="44"/>
        <v>1.3376212393608571</v>
      </c>
      <c r="J161" s="189">
        <f t="shared" si="47"/>
        <v>156.50168500522028</v>
      </c>
      <c r="K161" s="196">
        <f t="shared" si="41"/>
        <v>131.645950759698</v>
      </c>
      <c r="L161" s="195">
        <f t="shared" si="52"/>
        <v>24.855734245522285</v>
      </c>
      <c r="M161" s="192">
        <f t="shared" si="48"/>
        <v>0.77445517509025208</v>
      </c>
      <c r="N161" s="193">
        <f t="shared" si="49"/>
        <v>25.630189420612538</v>
      </c>
      <c r="O161" s="192">
        <v>0</v>
      </c>
      <c r="P161" s="192">
        <v>0</v>
      </c>
      <c r="Q161" s="192">
        <v>0</v>
      </c>
      <c r="R161" s="193">
        <f t="shared" si="50"/>
        <v>25.630189420612538</v>
      </c>
    </row>
    <row r="162" spans="1:19" x14ac:dyDescent="0.2">
      <c r="A162" s="149">
        <v>11</v>
      </c>
      <c r="B162" s="184">
        <f t="shared" si="45"/>
        <v>44501</v>
      </c>
      <c r="C162" s="207">
        <f t="shared" si="51"/>
        <v>44533</v>
      </c>
      <c r="D162" s="207">
        <f t="shared" si="51"/>
        <v>44557</v>
      </c>
      <c r="E162" s="215" t="s">
        <v>56</v>
      </c>
      <c r="F162" s="112">
        <v>9</v>
      </c>
      <c r="G162" s="187">
        <v>91</v>
      </c>
      <c r="H162" s="188">
        <f t="shared" si="46"/>
        <v>1.1251790663222052</v>
      </c>
      <c r="I162" s="188">
        <f t="shared" si="44"/>
        <v>1.3376212393608571</v>
      </c>
      <c r="J162" s="189">
        <f t="shared" si="47"/>
        <v>121.72353278183799</v>
      </c>
      <c r="K162" s="196">
        <f t="shared" si="41"/>
        <v>102.39129503532068</v>
      </c>
      <c r="L162" s="195">
        <f t="shared" si="52"/>
        <v>19.332237746517308</v>
      </c>
      <c r="M162" s="192">
        <f t="shared" si="48"/>
        <v>0.60235402507019609</v>
      </c>
      <c r="N162" s="193">
        <f t="shared" si="49"/>
        <v>19.934591771587503</v>
      </c>
      <c r="O162" s="192">
        <v>0</v>
      </c>
      <c r="P162" s="192">
        <v>0</v>
      </c>
      <c r="Q162" s="192">
        <v>0</v>
      </c>
      <c r="R162" s="193">
        <f t="shared" si="50"/>
        <v>19.934591771587503</v>
      </c>
    </row>
    <row r="163" spans="1:19" s="211" customFormat="1" x14ac:dyDescent="0.2">
      <c r="A163" s="149">
        <v>12</v>
      </c>
      <c r="B163" s="209">
        <f t="shared" si="45"/>
        <v>44531</v>
      </c>
      <c r="C163" s="207">
        <f t="shared" si="51"/>
        <v>44566</v>
      </c>
      <c r="D163" s="207">
        <f t="shared" si="51"/>
        <v>44585</v>
      </c>
      <c r="E163" s="216" t="s">
        <v>56</v>
      </c>
      <c r="F163" s="160">
        <v>9</v>
      </c>
      <c r="G163" s="187">
        <v>94</v>
      </c>
      <c r="H163" s="199">
        <f t="shared" si="46"/>
        <v>1.1251790663222052</v>
      </c>
      <c r="I163" s="199">
        <f t="shared" si="44"/>
        <v>1.3376212393608571</v>
      </c>
      <c r="J163" s="200">
        <f t="shared" si="47"/>
        <v>125.73639649992056</v>
      </c>
      <c r="K163" s="201">
        <f t="shared" si="41"/>
        <v>105.76683223428729</v>
      </c>
      <c r="L163" s="202">
        <f t="shared" si="52"/>
        <v>19.969564265633267</v>
      </c>
      <c r="M163" s="192">
        <f t="shared" si="48"/>
        <v>0.62221185007251023</v>
      </c>
      <c r="N163" s="193">
        <f t="shared" si="49"/>
        <v>20.591776115705777</v>
      </c>
      <c r="O163" s="192">
        <v>0</v>
      </c>
      <c r="P163" s="192">
        <v>0</v>
      </c>
      <c r="Q163" s="192">
        <v>0</v>
      </c>
      <c r="R163" s="193">
        <f t="shared" si="50"/>
        <v>20.591776115705777</v>
      </c>
    </row>
    <row r="164" spans="1:19" x14ac:dyDescent="0.2">
      <c r="A164" s="112">
        <v>1</v>
      </c>
      <c r="B164" s="184">
        <f t="shared" si="45"/>
        <v>44197</v>
      </c>
      <c r="C164" s="204">
        <f t="shared" si="51"/>
        <v>44230</v>
      </c>
      <c r="D164" s="204">
        <f t="shared" si="51"/>
        <v>44251</v>
      </c>
      <c r="E164" s="214" t="s">
        <v>57</v>
      </c>
      <c r="F164" s="112">
        <v>9</v>
      </c>
      <c r="G164" s="187">
        <v>11</v>
      </c>
      <c r="H164" s="188">
        <f t="shared" si="46"/>
        <v>1.1251790663222052</v>
      </c>
      <c r="I164" s="188">
        <f t="shared" si="44"/>
        <v>1.3376212393608571</v>
      </c>
      <c r="J164" s="189">
        <f t="shared" si="47"/>
        <v>14.713833632969427</v>
      </c>
      <c r="K164" s="190">
        <f t="shared" si="41"/>
        <v>12.376969729544257</v>
      </c>
      <c r="L164" s="191">
        <f t="shared" si="52"/>
        <v>2.3368639034251704</v>
      </c>
      <c r="M164" s="192">
        <f t="shared" si="48"/>
        <v>7.2812025008485243E-2</v>
      </c>
      <c r="N164" s="193">
        <f t="shared" si="49"/>
        <v>2.4096759284336557</v>
      </c>
      <c r="O164" s="192">
        <v>0</v>
      </c>
      <c r="P164" s="192">
        <v>0</v>
      </c>
      <c r="Q164" s="192">
        <v>0</v>
      </c>
      <c r="R164" s="193">
        <f t="shared" si="50"/>
        <v>2.4096759284336557</v>
      </c>
    </row>
    <row r="165" spans="1:19" x14ac:dyDescent="0.2">
      <c r="A165" s="149">
        <v>2</v>
      </c>
      <c r="B165" s="184">
        <f t="shared" si="45"/>
        <v>44228</v>
      </c>
      <c r="C165" s="207">
        <f t="shared" si="51"/>
        <v>44258</v>
      </c>
      <c r="D165" s="207">
        <f t="shared" si="51"/>
        <v>44279</v>
      </c>
      <c r="E165" s="215" t="s">
        <v>57</v>
      </c>
      <c r="F165" s="149">
        <v>9</v>
      </c>
      <c r="G165" s="187">
        <v>8</v>
      </c>
      <c r="H165" s="188">
        <f t="shared" si="46"/>
        <v>1.1251790663222052</v>
      </c>
      <c r="I165" s="188">
        <f t="shared" si="44"/>
        <v>1.3376212393608571</v>
      </c>
      <c r="J165" s="189">
        <f t="shared" si="47"/>
        <v>10.700969914886857</v>
      </c>
      <c r="K165" s="190">
        <f t="shared" si="41"/>
        <v>9.0014325305776417</v>
      </c>
      <c r="L165" s="191">
        <f t="shared" si="52"/>
        <v>1.699537384309215</v>
      </c>
      <c r="M165" s="192">
        <f t="shared" si="48"/>
        <v>5.2954200006171084E-2</v>
      </c>
      <c r="N165" s="193">
        <f t="shared" si="49"/>
        <v>1.7524915843153861</v>
      </c>
      <c r="O165" s="192">
        <v>0</v>
      </c>
      <c r="P165" s="192">
        <v>0</v>
      </c>
      <c r="Q165" s="192">
        <v>0</v>
      </c>
      <c r="R165" s="193">
        <f t="shared" si="50"/>
        <v>1.7524915843153861</v>
      </c>
    </row>
    <row r="166" spans="1:19" x14ac:dyDescent="0.2">
      <c r="A166" s="149">
        <v>3</v>
      </c>
      <c r="B166" s="184">
        <f t="shared" si="45"/>
        <v>44256</v>
      </c>
      <c r="C166" s="207">
        <f t="shared" si="51"/>
        <v>44291</v>
      </c>
      <c r="D166" s="207">
        <f t="shared" si="51"/>
        <v>44312</v>
      </c>
      <c r="E166" s="215" t="s">
        <v>57</v>
      </c>
      <c r="F166" s="149">
        <v>9</v>
      </c>
      <c r="G166" s="187">
        <v>7</v>
      </c>
      <c r="H166" s="188">
        <f t="shared" si="46"/>
        <v>1.1251790663222052</v>
      </c>
      <c r="I166" s="188">
        <f t="shared" si="44"/>
        <v>1.3376212393608571</v>
      </c>
      <c r="J166" s="189">
        <f t="shared" si="47"/>
        <v>9.3633486755259998</v>
      </c>
      <c r="K166" s="190">
        <f t="shared" si="41"/>
        <v>7.876253464255436</v>
      </c>
      <c r="L166" s="191">
        <f>+J166-K166</f>
        <v>1.4870952112705638</v>
      </c>
      <c r="M166" s="192">
        <f t="shared" si="48"/>
        <v>4.6334925005399701E-2</v>
      </c>
      <c r="N166" s="193">
        <f t="shared" si="49"/>
        <v>1.5334301362759635</v>
      </c>
      <c r="O166" s="192">
        <v>0</v>
      </c>
      <c r="P166" s="192">
        <v>0</v>
      </c>
      <c r="Q166" s="192">
        <v>0</v>
      </c>
      <c r="R166" s="193">
        <f t="shared" si="50"/>
        <v>1.5334301362759635</v>
      </c>
    </row>
    <row r="167" spans="1:19" x14ac:dyDescent="0.2">
      <c r="A167" s="112">
        <v>4</v>
      </c>
      <c r="B167" s="184">
        <f t="shared" si="45"/>
        <v>44287</v>
      </c>
      <c r="C167" s="207">
        <f t="shared" si="51"/>
        <v>44321</v>
      </c>
      <c r="D167" s="207">
        <f t="shared" si="51"/>
        <v>44340</v>
      </c>
      <c r="E167" s="215" t="s">
        <v>57</v>
      </c>
      <c r="F167" s="149">
        <v>9</v>
      </c>
      <c r="G167" s="187">
        <v>12</v>
      </c>
      <c r="H167" s="188">
        <f t="shared" si="46"/>
        <v>1.1251790663222052</v>
      </c>
      <c r="I167" s="188">
        <f t="shared" si="44"/>
        <v>1.3376212393608571</v>
      </c>
      <c r="J167" s="189">
        <f t="shared" si="47"/>
        <v>16.051454872330286</v>
      </c>
      <c r="K167" s="190">
        <f t="shared" si="41"/>
        <v>13.502148795866463</v>
      </c>
      <c r="L167" s="191">
        <f t="shared" ref="L167:L177" si="53">+J167-K167</f>
        <v>2.5493060764638233</v>
      </c>
      <c r="M167" s="192">
        <f t="shared" si="48"/>
        <v>7.943130000925662E-2</v>
      </c>
      <c r="N167" s="193">
        <f t="shared" si="49"/>
        <v>2.6287373764730799</v>
      </c>
      <c r="O167" s="192">
        <v>0</v>
      </c>
      <c r="P167" s="192">
        <v>0</v>
      </c>
      <c r="Q167" s="192">
        <v>0</v>
      </c>
      <c r="R167" s="193">
        <f t="shared" si="50"/>
        <v>2.6287373764730799</v>
      </c>
    </row>
    <row r="168" spans="1:19" x14ac:dyDescent="0.2">
      <c r="A168" s="149">
        <v>5</v>
      </c>
      <c r="B168" s="184">
        <f t="shared" si="45"/>
        <v>44317</v>
      </c>
      <c r="C168" s="207">
        <f t="shared" si="51"/>
        <v>44350</v>
      </c>
      <c r="D168" s="207">
        <f t="shared" si="51"/>
        <v>44371</v>
      </c>
      <c r="E168" s="215" t="s">
        <v>57</v>
      </c>
      <c r="F168" s="149">
        <v>9</v>
      </c>
      <c r="G168" s="187">
        <v>11</v>
      </c>
      <c r="H168" s="188">
        <f t="shared" si="46"/>
        <v>1.1251790663222052</v>
      </c>
      <c r="I168" s="188">
        <f t="shared" si="44"/>
        <v>1.3376212393608571</v>
      </c>
      <c r="J168" s="189">
        <f t="shared" si="47"/>
        <v>14.713833632969427</v>
      </c>
      <c r="K168" s="190">
        <f t="shared" si="41"/>
        <v>12.376969729544257</v>
      </c>
      <c r="L168" s="191">
        <f t="shared" si="53"/>
        <v>2.3368639034251704</v>
      </c>
      <c r="M168" s="192">
        <f t="shared" si="48"/>
        <v>7.2812025008485243E-2</v>
      </c>
      <c r="N168" s="193">
        <f t="shared" si="49"/>
        <v>2.4096759284336557</v>
      </c>
      <c r="O168" s="192">
        <v>0</v>
      </c>
      <c r="P168" s="192">
        <v>0</v>
      </c>
      <c r="Q168" s="192">
        <v>0</v>
      </c>
      <c r="R168" s="193">
        <f t="shared" si="50"/>
        <v>2.4096759284336557</v>
      </c>
    </row>
    <row r="169" spans="1:19" x14ac:dyDescent="0.2">
      <c r="A169" s="149">
        <v>6</v>
      </c>
      <c r="B169" s="184">
        <f t="shared" si="45"/>
        <v>44348</v>
      </c>
      <c r="C169" s="207">
        <f t="shared" si="51"/>
        <v>44383</v>
      </c>
      <c r="D169" s="207">
        <f t="shared" si="51"/>
        <v>44401</v>
      </c>
      <c r="E169" s="215" t="s">
        <v>57</v>
      </c>
      <c r="F169" s="149">
        <v>9</v>
      </c>
      <c r="G169" s="187">
        <v>13</v>
      </c>
      <c r="H169" s="188">
        <f t="shared" si="46"/>
        <v>1.1251790663222052</v>
      </c>
      <c r="I169" s="188">
        <f t="shared" si="44"/>
        <v>1.3376212393608571</v>
      </c>
      <c r="J169" s="189">
        <f t="shared" si="47"/>
        <v>17.389076111691143</v>
      </c>
      <c r="K169" s="190">
        <f t="shared" si="41"/>
        <v>14.627327862188668</v>
      </c>
      <c r="L169" s="195">
        <f t="shared" si="53"/>
        <v>2.7617482495024746</v>
      </c>
      <c r="M169" s="192">
        <f t="shared" si="48"/>
        <v>8.605057501002801E-2</v>
      </c>
      <c r="N169" s="193">
        <f t="shared" si="49"/>
        <v>2.8477988245125028</v>
      </c>
      <c r="O169" s="192">
        <v>0</v>
      </c>
      <c r="P169" s="192">
        <v>0</v>
      </c>
      <c r="Q169" s="192">
        <v>0</v>
      </c>
      <c r="R169" s="193">
        <f t="shared" si="50"/>
        <v>2.8477988245125028</v>
      </c>
    </row>
    <row r="170" spans="1:19" x14ac:dyDescent="0.2">
      <c r="A170" s="112">
        <v>7</v>
      </c>
      <c r="B170" s="184">
        <f t="shared" si="45"/>
        <v>44378</v>
      </c>
      <c r="C170" s="207">
        <f t="shared" si="51"/>
        <v>44412</v>
      </c>
      <c r="D170" s="207">
        <f t="shared" si="51"/>
        <v>44432</v>
      </c>
      <c r="E170" s="215" t="s">
        <v>57</v>
      </c>
      <c r="F170" s="149">
        <v>9</v>
      </c>
      <c r="G170" s="187">
        <v>13</v>
      </c>
      <c r="H170" s="188">
        <f t="shared" si="46"/>
        <v>1.1251790663222052</v>
      </c>
      <c r="I170" s="188">
        <f t="shared" si="44"/>
        <v>1.3376212393608571</v>
      </c>
      <c r="J170" s="189">
        <f t="shared" si="47"/>
        <v>17.389076111691143</v>
      </c>
      <c r="K170" s="196">
        <f t="shared" si="41"/>
        <v>14.627327862188668</v>
      </c>
      <c r="L170" s="195">
        <f t="shared" si="53"/>
        <v>2.7617482495024746</v>
      </c>
      <c r="M170" s="192">
        <f t="shared" si="48"/>
        <v>8.605057501002801E-2</v>
      </c>
      <c r="N170" s="193">
        <f t="shared" si="49"/>
        <v>2.8477988245125028</v>
      </c>
      <c r="O170" s="192">
        <v>0</v>
      </c>
      <c r="P170" s="192">
        <v>0</v>
      </c>
      <c r="Q170" s="192">
        <v>0</v>
      </c>
      <c r="R170" s="193">
        <f t="shared" si="50"/>
        <v>2.8477988245125028</v>
      </c>
    </row>
    <row r="171" spans="1:19" x14ac:dyDescent="0.2">
      <c r="A171" s="149">
        <v>8</v>
      </c>
      <c r="B171" s="184">
        <f t="shared" si="45"/>
        <v>44409</v>
      </c>
      <c r="C171" s="207">
        <f t="shared" si="51"/>
        <v>44442</v>
      </c>
      <c r="D171" s="207">
        <f t="shared" si="51"/>
        <v>44463</v>
      </c>
      <c r="E171" s="215" t="s">
        <v>57</v>
      </c>
      <c r="F171" s="112">
        <v>9</v>
      </c>
      <c r="G171" s="187">
        <v>12</v>
      </c>
      <c r="H171" s="188">
        <f t="shared" si="46"/>
        <v>1.1251790663222052</v>
      </c>
      <c r="I171" s="188">
        <f t="shared" si="44"/>
        <v>1.3376212393608571</v>
      </c>
      <c r="J171" s="189">
        <f t="shared" si="47"/>
        <v>16.051454872330286</v>
      </c>
      <c r="K171" s="196">
        <f t="shared" si="41"/>
        <v>13.502148795866463</v>
      </c>
      <c r="L171" s="195">
        <f t="shared" si="53"/>
        <v>2.5493060764638233</v>
      </c>
      <c r="M171" s="192">
        <f t="shared" si="48"/>
        <v>7.943130000925662E-2</v>
      </c>
      <c r="N171" s="193">
        <f t="shared" si="49"/>
        <v>2.6287373764730799</v>
      </c>
      <c r="O171" s="192">
        <v>0</v>
      </c>
      <c r="P171" s="192">
        <v>0</v>
      </c>
      <c r="Q171" s="192">
        <v>0</v>
      </c>
      <c r="R171" s="193">
        <f t="shared" si="50"/>
        <v>2.6287373764730799</v>
      </c>
      <c r="S171" s="52"/>
    </row>
    <row r="172" spans="1:19" x14ac:dyDescent="0.2">
      <c r="A172" s="149">
        <v>9</v>
      </c>
      <c r="B172" s="184">
        <f t="shared" si="45"/>
        <v>44440</v>
      </c>
      <c r="C172" s="207">
        <f t="shared" ref="C172:D175" si="54">+C160</f>
        <v>44474</v>
      </c>
      <c r="D172" s="207">
        <f t="shared" si="54"/>
        <v>44494</v>
      </c>
      <c r="E172" s="215" t="s">
        <v>57</v>
      </c>
      <c r="F172" s="112">
        <v>9</v>
      </c>
      <c r="G172" s="187">
        <v>13</v>
      </c>
      <c r="H172" s="188">
        <f t="shared" si="46"/>
        <v>1.1251790663222052</v>
      </c>
      <c r="I172" s="188">
        <f t="shared" si="44"/>
        <v>1.3376212393608571</v>
      </c>
      <c r="J172" s="189">
        <f t="shared" si="47"/>
        <v>17.389076111691143</v>
      </c>
      <c r="K172" s="196">
        <f t="shared" si="41"/>
        <v>14.627327862188668</v>
      </c>
      <c r="L172" s="195">
        <f t="shared" si="53"/>
        <v>2.7617482495024746</v>
      </c>
      <c r="M172" s="192">
        <f t="shared" si="48"/>
        <v>8.605057501002801E-2</v>
      </c>
      <c r="N172" s="193">
        <f t="shared" si="49"/>
        <v>2.8477988245125028</v>
      </c>
      <c r="O172" s="192">
        <v>0</v>
      </c>
      <c r="P172" s="192">
        <v>0</v>
      </c>
      <c r="Q172" s="192">
        <v>0</v>
      </c>
      <c r="R172" s="193">
        <f t="shared" si="50"/>
        <v>2.8477988245125028</v>
      </c>
    </row>
    <row r="173" spans="1:19" x14ac:dyDescent="0.2">
      <c r="A173" s="112">
        <v>10</v>
      </c>
      <c r="B173" s="184">
        <f t="shared" si="45"/>
        <v>44470</v>
      </c>
      <c r="C173" s="207">
        <f t="shared" si="54"/>
        <v>44503</v>
      </c>
      <c r="D173" s="207">
        <f t="shared" si="54"/>
        <v>44524</v>
      </c>
      <c r="E173" s="215" t="s">
        <v>57</v>
      </c>
      <c r="F173" s="112">
        <v>9</v>
      </c>
      <c r="G173" s="187">
        <v>8</v>
      </c>
      <c r="H173" s="188">
        <f t="shared" si="46"/>
        <v>1.1251790663222052</v>
      </c>
      <c r="I173" s="188">
        <f t="shared" si="44"/>
        <v>1.3376212393608571</v>
      </c>
      <c r="J173" s="189">
        <f t="shared" si="47"/>
        <v>10.700969914886857</v>
      </c>
      <c r="K173" s="196">
        <f t="shared" si="41"/>
        <v>9.0014325305776417</v>
      </c>
      <c r="L173" s="195">
        <f t="shared" si="53"/>
        <v>1.699537384309215</v>
      </c>
      <c r="M173" s="192">
        <f t="shared" si="48"/>
        <v>5.2954200006171084E-2</v>
      </c>
      <c r="N173" s="193">
        <f t="shared" si="49"/>
        <v>1.7524915843153861</v>
      </c>
      <c r="O173" s="192">
        <v>0</v>
      </c>
      <c r="P173" s="192">
        <v>0</v>
      </c>
      <c r="Q173" s="192">
        <v>0</v>
      </c>
      <c r="R173" s="193">
        <f t="shared" si="50"/>
        <v>1.7524915843153861</v>
      </c>
    </row>
    <row r="174" spans="1:19" x14ac:dyDescent="0.2">
      <c r="A174" s="149">
        <v>11</v>
      </c>
      <c r="B174" s="184">
        <f t="shared" si="45"/>
        <v>44501</v>
      </c>
      <c r="C174" s="207">
        <f t="shared" si="54"/>
        <v>44533</v>
      </c>
      <c r="D174" s="207">
        <f t="shared" si="54"/>
        <v>44557</v>
      </c>
      <c r="E174" s="215" t="s">
        <v>57</v>
      </c>
      <c r="F174" s="112">
        <v>9</v>
      </c>
      <c r="G174" s="187">
        <v>8</v>
      </c>
      <c r="H174" s="188">
        <f t="shared" si="46"/>
        <v>1.1251790663222052</v>
      </c>
      <c r="I174" s="188">
        <f t="shared" si="44"/>
        <v>1.3376212393608571</v>
      </c>
      <c r="J174" s="189">
        <f t="shared" si="47"/>
        <v>10.700969914886857</v>
      </c>
      <c r="K174" s="196">
        <f t="shared" si="41"/>
        <v>9.0014325305776417</v>
      </c>
      <c r="L174" s="195">
        <f t="shared" si="53"/>
        <v>1.699537384309215</v>
      </c>
      <c r="M174" s="192">
        <f t="shared" si="48"/>
        <v>5.2954200006171084E-2</v>
      </c>
      <c r="N174" s="193">
        <f t="shared" si="49"/>
        <v>1.7524915843153861</v>
      </c>
      <c r="O174" s="192">
        <v>0</v>
      </c>
      <c r="P174" s="192">
        <v>0</v>
      </c>
      <c r="Q174" s="192">
        <v>0</v>
      </c>
      <c r="R174" s="193">
        <f t="shared" si="50"/>
        <v>1.7524915843153861</v>
      </c>
    </row>
    <row r="175" spans="1:19" s="211" customFormat="1" x14ac:dyDescent="0.2">
      <c r="A175" s="149">
        <v>12</v>
      </c>
      <c r="B175" s="209">
        <f t="shared" si="45"/>
        <v>44531</v>
      </c>
      <c r="C175" s="207">
        <f t="shared" si="54"/>
        <v>44566</v>
      </c>
      <c r="D175" s="207">
        <f t="shared" si="54"/>
        <v>44585</v>
      </c>
      <c r="E175" s="216" t="s">
        <v>57</v>
      </c>
      <c r="F175" s="160">
        <v>9</v>
      </c>
      <c r="G175" s="187">
        <v>11</v>
      </c>
      <c r="H175" s="199">
        <f t="shared" si="46"/>
        <v>1.1251790663222052</v>
      </c>
      <c r="I175" s="199">
        <f t="shared" si="44"/>
        <v>1.3376212393608571</v>
      </c>
      <c r="J175" s="200">
        <f t="shared" si="47"/>
        <v>14.713833632969427</v>
      </c>
      <c r="K175" s="201">
        <f t="shared" si="41"/>
        <v>12.376969729544257</v>
      </c>
      <c r="L175" s="202">
        <f t="shared" si="53"/>
        <v>2.3368639034251704</v>
      </c>
      <c r="M175" s="192">
        <f t="shared" si="48"/>
        <v>7.2812025008485243E-2</v>
      </c>
      <c r="N175" s="193">
        <f t="shared" si="49"/>
        <v>2.4096759284336557</v>
      </c>
      <c r="O175" s="192">
        <v>0</v>
      </c>
      <c r="P175" s="192">
        <v>0</v>
      </c>
      <c r="Q175" s="192">
        <v>0</v>
      </c>
      <c r="R175" s="193">
        <f t="shared" si="50"/>
        <v>2.4096759284336557</v>
      </c>
    </row>
    <row r="176" spans="1:19" x14ac:dyDescent="0.2">
      <c r="A176" s="112">
        <v>1</v>
      </c>
      <c r="B176" s="184">
        <f t="shared" si="45"/>
        <v>44197</v>
      </c>
      <c r="C176" s="204">
        <f t="shared" ref="C176:D187" si="55">+C152</f>
        <v>44230</v>
      </c>
      <c r="D176" s="204">
        <f t="shared" si="55"/>
        <v>44251</v>
      </c>
      <c r="E176" s="214" t="s">
        <v>58</v>
      </c>
      <c r="F176" s="149">
        <v>9</v>
      </c>
      <c r="G176" s="187">
        <v>20</v>
      </c>
      <c r="H176" s="188">
        <f t="shared" si="46"/>
        <v>1.1251790663222052</v>
      </c>
      <c r="I176" s="188">
        <f t="shared" si="44"/>
        <v>1.3376212393608571</v>
      </c>
      <c r="J176" s="189">
        <f t="shared" si="47"/>
        <v>26.752424787217141</v>
      </c>
      <c r="K176" s="190">
        <f t="shared" si="41"/>
        <v>22.503581326444106</v>
      </c>
      <c r="L176" s="191">
        <f t="shared" si="53"/>
        <v>4.2488434607730348</v>
      </c>
      <c r="M176" s="192">
        <f t="shared" si="48"/>
        <v>0.1323855000154277</v>
      </c>
      <c r="N176" s="193">
        <f t="shared" si="49"/>
        <v>4.3812289607884622</v>
      </c>
      <c r="O176" s="192">
        <v>0</v>
      </c>
      <c r="P176" s="192">
        <v>0</v>
      </c>
      <c r="Q176" s="192">
        <v>0</v>
      </c>
      <c r="R176" s="193">
        <f t="shared" si="50"/>
        <v>4.3812289607884622</v>
      </c>
    </row>
    <row r="177" spans="1:18" x14ac:dyDescent="0.2">
      <c r="A177" s="149">
        <v>2</v>
      </c>
      <c r="B177" s="184">
        <f t="shared" si="45"/>
        <v>44228</v>
      </c>
      <c r="C177" s="207">
        <f t="shared" si="55"/>
        <v>44258</v>
      </c>
      <c r="D177" s="207">
        <f t="shared" si="55"/>
        <v>44279</v>
      </c>
      <c r="E177" s="54" t="s">
        <v>58</v>
      </c>
      <c r="F177" s="149">
        <v>9</v>
      </c>
      <c r="G177" s="187">
        <v>23</v>
      </c>
      <c r="H177" s="188">
        <f t="shared" si="46"/>
        <v>1.1251790663222052</v>
      </c>
      <c r="I177" s="188">
        <f t="shared" si="44"/>
        <v>1.3376212393608571</v>
      </c>
      <c r="J177" s="189">
        <f t="shared" si="47"/>
        <v>30.765288505299711</v>
      </c>
      <c r="K177" s="190">
        <f t="shared" si="41"/>
        <v>25.879118525410721</v>
      </c>
      <c r="L177" s="191">
        <f t="shared" si="53"/>
        <v>4.8861699798889902</v>
      </c>
      <c r="M177" s="192">
        <f t="shared" si="48"/>
        <v>0.15224332501774188</v>
      </c>
      <c r="N177" s="193">
        <f t="shared" si="49"/>
        <v>5.0384133049067321</v>
      </c>
      <c r="O177" s="192">
        <v>0</v>
      </c>
      <c r="P177" s="192">
        <v>0</v>
      </c>
      <c r="Q177" s="192">
        <v>0</v>
      </c>
      <c r="R177" s="193">
        <f t="shared" si="50"/>
        <v>5.0384133049067321</v>
      </c>
    </row>
    <row r="178" spans="1:18" x14ac:dyDescent="0.2">
      <c r="A178" s="149">
        <v>3</v>
      </c>
      <c r="B178" s="184">
        <f t="shared" si="45"/>
        <v>44256</v>
      </c>
      <c r="C178" s="207">
        <f t="shared" si="55"/>
        <v>44291</v>
      </c>
      <c r="D178" s="207">
        <f t="shared" si="55"/>
        <v>44312</v>
      </c>
      <c r="E178" s="54" t="s">
        <v>58</v>
      </c>
      <c r="F178" s="149">
        <v>9</v>
      </c>
      <c r="G178" s="187">
        <v>16</v>
      </c>
      <c r="H178" s="188">
        <f t="shared" si="46"/>
        <v>1.1251790663222052</v>
      </c>
      <c r="I178" s="188">
        <f t="shared" si="44"/>
        <v>1.3376212393608571</v>
      </c>
      <c r="J178" s="189">
        <f t="shared" si="47"/>
        <v>21.401939829773713</v>
      </c>
      <c r="K178" s="190">
        <f t="shared" si="41"/>
        <v>18.002865061155283</v>
      </c>
      <c r="L178" s="191">
        <f>+J178-K178</f>
        <v>3.3990747686184299</v>
      </c>
      <c r="M178" s="192">
        <f t="shared" si="48"/>
        <v>0.10590840001234217</v>
      </c>
      <c r="N178" s="193">
        <f t="shared" si="49"/>
        <v>3.5049831686307722</v>
      </c>
      <c r="O178" s="192">
        <v>0</v>
      </c>
      <c r="P178" s="192">
        <v>0</v>
      </c>
      <c r="Q178" s="192">
        <v>0</v>
      </c>
      <c r="R178" s="193">
        <f t="shared" si="50"/>
        <v>3.5049831686307722</v>
      </c>
    </row>
    <row r="179" spans="1:18" x14ac:dyDescent="0.2">
      <c r="A179" s="112">
        <v>4</v>
      </c>
      <c r="B179" s="184">
        <f t="shared" si="45"/>
        <v>44287</v>
      </c>
      <c r="C179" s="207">
        <f t="shared" si="55"/>
        <v>44321</v>
      </c>
      <c r="D179" s="207">
        <f t="shared" si="55"/>
        <v>44340</v>
      </c>
      <c r="E179" s="54" t="s">
        <v>58</v>
      </c>
      <c r="F179" s="149">
        <v>9</v>
      </c>
      <c r="G179" s="187">
        <v>20</v>
      </c>
      <c r="H179" s="188">
        <f t="shared" si="46"/>
        <v>1.1251790663222052</v>
      </c>
      <c r="I179" s="188">
        <f t="shared" si="44"/>
        <v>1.3376212393608571</v>
      </c>
      <c r="J179" s="189">
        <f t="shared" si="47"/>
        <v>26.752424787217141</v>
      </c>
      <c r="K179" s="190">
        <f t="shared" si="41"/>
        <v>22.503581326444106</v>
      </c>
      <c r="L179" s="191">
        <f t="shared" ref="L179:L189" si="56">+J179-K179</f>
        <v>4.2488434607730348</v>
      </c>
      <c r="M179" s="192">
        <f t="shared" si="48"/>
        <v>0.1323855000154277</v>
      </c>
      <c r="N179" s="193">
        <f t="shared" si="49"/>
        <v>4.3812289607884622</v>
      </c>
      <c r="O179" s="192">
        <v>0</v>
      </c>
      <c r="P179" s="192">
        <v>0</v>
      </c>
      <c r="Q179" s="192">
        <v>0</v>
      </c>
      <c r="R179" s="193">
        <f t="shared" si="50"/>
        <v>4.3812289607884622</v>
      </c>
    </row>
    <row r="180" spans="1:18" x14ac:dyDescent="0.2">
      <c r="A180" s="149">
        <v>5</v>
      </c>
      <c r="B180" s="184">
        <f t="shared" si="45"/>
        <v>44317</v>
      </c>
      <c r="C180" s="207">
        <f t="shared" si="55"/>
        <v>44350</v>
      </c>
      <c r="D180" s="207">
        <f t="shared" si="55"/>
        <v>44371</v>
      </c>
      <c r="E180" s="54" t="s">
        <v>58</v>
      </c>
      <c r="F180" s="149">
        <v>9</v>
      </c>
      <c r="G180" s="187">
        <v>27</v>
      </c>
      <c r="H180" s="188">
        <f t="shared" si="46"/>
        <v>1.1251790663222052</v>
      </c>
      <c r="I180" s="188">
        <f t="shared" ref="I180:I211" si="57">$J$3</f>
        <v>1.3376212393608571</v>
      </c>
      <c r="J180" s="189">
        <f t="shared" si="47"/>
        <v>36.115773462743142</v>
      </c>
      <c r="K180" s="190">
        <f t="shared" si="41"/>
        <v>30.37983479069954</v>
      </c>
      <c r="L180" s="191">
        <f t="shared" si="56"/>
        <v>5.7359386720436021</v>
      </c>
      <c r="M180" s="192">
        <f t="shared" si="48"/>
        <v>0.17872042502082741</v>
      </c>
      <c r="N180" s="193">
        <f t="shared" si="49"/>
        <v>5.9146590970644297</v>
      </c>
      <c r="O180" s="192">
        <v>0</v>
      </c>
      <c r="P180" s="192">
        <v>0</v>
      </c>
      <c r="Q180" s="192">
        <v>0</v>
      </c>
      <c r="R180" s="193">
        <f t="shared" si="50"/>
        <v>5.9146590970644297</v>
      </c>
    </row>
    <row r="181" spans="1:18" x14ac:dyDescent="0.2">
      <c r="A181" s="149">
        <v>6</v>
      </c>
      <c r="B181" s="184">
        <f t="shared" si="45"/>
        <v>44348</v>
      </c>
      <c r="C181" s="207">
        <f t="shared" si="55"/>
        <v>44383</v>
      </c>
      <c r="D181" s="207">
        <f t="shared" si="55"/>
        <v>44401</v>
      </c>
      <c r="E181" s="54" t="s">
        <v>58</v>
      </c>
      <c r="F181" s="149">
        <v>9</v>
      </c>
      <c r="G181" s="187">
        <v>32</v>
      </c>
      <c r="H181" s="188">
        <f t="shared" si="46"/>
        <v>1.1251790663222052</v>
      </c>
      <c r="I181" s="188">
        <f t="shared" si="57"/>
        <v>1.3376212393608571</v>
      </c>
      <c r="J181" s="189">
        <f t="shared" si="47"/>
        <v>42.803879659547427</v>
      </c>
      <c r="K181" s="190">
        <f t="shared" si="41"/>
        <v>36.005730122310567</v>
      </c>
      <c r="L181" s="195">
        <f t="shared" si="56"/>
        <v>6.7981495372368599</v>
      </c>
      <c r="M181" s="192">
        <f t="shared" si="48"/>
        <v>0.21181680002468434</v>
      </c>
      <c r="N181" s="193">
        <f t="shared" si="49"/>
        <v>7.0099663372615444</v>
      </c>
      <c r="O181" s="192">
        <v>0</v>
      </c>
      <c r="P181" s="192">
        <v>0</v>
      </c>
      <c r="Q181" s="192">
        <v>0</v>
      </c>
      <c r="R181" s="193">
        <f t="shared" si="50"/>
        <v>7.0099663372615444</v>
      </c>
    </row>
    <row r="182" spans="1:18" x14ac:dyDescent="0.2">
      <c r="A182" s="112">
        <v>7</v>
      </c>
      <c r="B182" s="184">
        <f t="shared" si="45"/>
        <v>44378</v>
      </c>
      <c r="C182" s="207">
        <f t="shared" si="55"/>
        <v>44412</v>
      </c>
      <c r="D182" s="207">
        <f t="shared" si="55"/>
        <v>44432</v>
      </c>
      <c r="E182" s="54" t="s">
        <v>58</v>
      </c>
      <c r="F182" s="149">
        <v>9</v>
      </c>
      <c r="G182" s="187">
        <v>37</v>
      </c>
      <c r="H182" s="188">
        <f t="shared" si="46"/>
        <v>1.1251790663222052</v>
      </c>
      <c r="I182" s="188">
        <f t="shared" si="57"/>
        <v>1.3376212393608571</v>
      </c>
      <c r="J182" s="189">
        <f t="shared" si="47"/>
        <v>49.491985856351711</v>
      </c>
      <c r="K182" s="196">
        <f t="shared" si="41"/>
        <v>41.631625453921593</v>
      </c>
      <c r="L182" s="195">
        <f t="shared" si="56"/>
        <v>7.8603604024301177</v>
      </c>
      <c r="M182" s="192">
        <f t="shared" si="48"/>
        <v>0.24491317502854126</v>
      </c>
      <c r="N182" s="193">
        <f t="shared" si="49"/>
        <v>8.1052735774586591</v>
      </c>
      <c r="O182" s="192">
        <v>0</v>
      </c>
      <c r="P182" s="192">
        <v>0</v>
      </c>
      <c r="Q182" s="192">
        <v>0</v>
      </c>
      <c r="R182" s="193">
        <f t="shared" si="50"/>
        <v>8.1052735774586591</v>
      </c>
    </row>
    <row r="183" spans="1:18" x14ac:dyDescent="0.2">
      <c r="A183" s="149">
        <v>8</v>
      </c>
      <c r="B183" s="184">
        <f t="shared" si="45"/>
        <v>44409</v>
      </c>
      <c r="C183" s="207">
        <f t="shared" si="55"/>
        <v>44442</v>
      </c>
      <c r="D183" s="207">
        <f t="shared" si="55"/>
        <v>44463</v>
      </c>
      <c r="E183" s="54" t="s">
        <v>58</v>
      </c>
      <c r="F183" s="149">
        <v>9</v>
      </c>
      <c r="G183" s="187">
        <v>33</v>
      </c>
      <c r="H183" s="188">
        <f t="shared" si="46"/>
        <v>1.1251790663222052</v>
      </c>
      <c r="I183" s="188">
        <f t="shared" si="57"/>
        <v>1.3376212393608571</v>
      </c>
      <c r="J183" s="189">
        <f t="shared" si="47"/>
        <v>44.141500898908284</v>
      </c>
      <c r="K183" s="196">
        <f t="shared" si="41"/>
        <v>37.130909188632771</v>
      </c>
      <c r="L183" s="195">
        <f t="shared" si="56"/>
        <v>7.0105917102755129</v>
      </c>
      <c r="M183" s="192">
        <f t="shared" si="48"/>
        <v>0.2184360750254557</v>
      </c>
      <c r="N183" s="193">
        <f t="shared" si="49"/>
        <v>7.2290277853009686</v>
      </c>
      <c r="O183" s="192">
        <v>0</v>
      </c>
      <c r="P183" s="192">
        <v>0</v>
      </c>
      <c r="Q183" s="192">
        <v>0</v>
      </c>
      <c r="R183" s="193">
        <f t="shared" si="50"/>
        <v>7.2290277853009686</v>
      </c>
    </row>
    <row r="184" spans="1:18" x14ac:dyDescent="0.2">
      <c r="A184" s="149">
        <v>9</v>
      </c>
      <c r="B184" s="184">
        <f t="shared" si="45"/>
        <v>44440</v>
      </c>
      <c r="C184" s="207">
        <f t="shared" si="55"/>
        <v>44474</v>
      </c>
      <c r="D184" s="207">
        <f t="shared" si="55"/>
        <v>44494</v>
      </c>
      <c r="E184" s="54" t="s">
        <v>58</v>
      </c>
      <c r="F184" s="149">
        <v>9</v>
      </c>
      <c r="G184" s="187">
        <v>37</v>
      </c>
      <c r="H184" s="188">
        <f t="shared" si="46"/>
        <v>1.1251790663222052</v>
      </c>
      <c r="I184" s="188">
        <f t="shared" si="57"/>
        <v>1.3376212393608571</v>
      </c>
      <c r="J184" s="189">
        <f t="shared" si="47"/>
        <v>49.491985856351711</v>
      </c>
      <c r="K184" s="196">
        <f t="shared" si="41"/>
        <v>41.631625453921593</v>
      </c>
      <c r="L184" s="195">
        <f t="shared" si="56"/>
        <v>7.8603604024301177</v>
      </c>
      <c r="M184" s="192">
        <f t="shared" si="48"/>
        <v>0.24491317502854126</v>
      </c>
      <c r="N184" s="193">
        <f t="shared" si="49"/>
        <v>8.1052735774586591</v>
      </c>
      <c r="O184" s="192">
        <v>0</v>
      </c>
      <c r="P184" s="192">
        <v>0</v>
      </c>
      <c r="Q184" s="192">
        <v>0</v>
      </c>
      <c r="R184" s="193">
        <f t="shared" si="50"/>
        <v>8.1052735774586591</v>
      </c>
    </row>
    <row r="185" spans="1:18" x14ac:dyDescent="0.2">
      <c r="A185" s="112">
        <v>10</v>
      </c>
      <c r="B185" s="184">
        <f t="shared" si="45"/>
        <v>44470</v>
      </c>
      <c r="C185" s="207">
        <f t="shared" si="55"/>
        <v>44503</v>
      </c>
      <c r="D185" s="207">
        <f t="shared" si="55"/>
        <v>44524</v>
      </c>
      <c r="E185" s="54" t="s">
        <v>58</v>
      </c>
      <c r="F185" s="149">
        <v>9</v>
      </c>
      <c r="G185" s="187">
        <v>27</v>
      </c>
      <c r="H185" s="188">
        <f t="shared" si="46"/>
        <v>1.1251790663222052</v>
      </c>
      <c r="I185" s="188">
        <f t="shared" si="57"/>
        <v>1.3376212393608571</v>
      </c>
      <c r="J185" s="189">
        <f t="shared" si="47"/>
        <v>36.115773462743142</v>
      </c>
      <c r="K185" s="196">
        <f t="shared" si="41"/>
        <v>30.37983479069954</v>
      </c>
      <c r="L185" s="195">
        <f t="shared" si="56"/>
        <v>5.7359386720436021</v>
      </c>
      <c r="M185" s="192">
        <f t="shared" si="48"/>
        <v>0.17872042502082741</v>
      </c>
      <c r="N185" s="193">
        <f t="shared" si="49"/>
        <v>5.9146590970644297</v>
      </c>
      <c r="O185" s="192">
        <v>0</v>
      </c>
      <c r="P185" s="192">
        <v>0</v>
      </c>
      <c r="Q185" s="192">
        <v>0</v>
      </c>
      <c r="R185" s="193">
        <f t="shared" si="50"/>
        <v>5.9146590970644297</v>
      </c>
    </row>
    <row r="186" spans="1:18" x14ac:dyDescent="0.2">
      <c r="A186" s="149">
        <v>11</v>
      </c>
      <c r="B186" s="184">
        <f t="shared" si="45"/>
        <v>44501</v>
      </c>
      <c r="C186" s="207">
        <f t="shared" si="55"/>
        <v>44533</v>
      </c>
      <c r="D186" s="207">
        <f t="shared" si="55"/>
        <v>44557</v>
      </c>
      <c r="E186" s="54" t="s">
        <v>58</v>
      </c>
      <c r="F186" s="149">
        <v>9</v>
      </c>
      <c r="G186" s="187">
        <v>16</v>
      </c>
      <c r="H186" s="188">
        <f t="shared" si="46"/>
        <v>1.1251790663222052</v>
      </c>
      <c r="I186" s="188">
        <f t="shared" si="57"/>
        <v>1.3376212393608571</v>
      </c>
      <c r="J186" s="189">
        <f t="shared" si="47"/>
        <v>21.401939829773713</v>
      </c>
      <c r="K186" s="196">
        <f t="shared" si="41"/>
        <v>18.002865061155283</v>
      </c>
      <c r="L186" s="195">
        <f t="shared" si="56"/>
        <v>3.3990747686184299</v>
      </c>
      <c r="M186" s="192">
        <f t="shared" si="48"/>
        <v>0.10590840001234217</v>
      </c>
      <c r="N186" s="193">
        <f t="shared" si="49"/>
        <v>3.5049831686307722</v>
      </c>
      <c r="O186" s="192">
        <v>0</v>
      </c>
      <c r="P186" s="192">
        <v>0</v>
      </c>
      <c r="Q186" s="192">
        <v>0</v>
      </c>
      <c r="R186" s="193">
        <f t="shared" si="50"/>
        <v>3.5049831686307722</v>
      </c>
    </row>
    <row r="187" spans="1:18" s="211" customFormat="1" x14ac:dyDescent="0.2">
      <c r="A187" s="149">
        <v>12</v>
      </c>
      <c r="B187" s="209">
        <f t="shared" si="45"/>
        <v>44531</v>
      </c>
      <c r="C187" s="207">
        <f t="shared" si="55"/>
        <v>44566</v>
      </c>
      <c r="D187" s="207">
        <f t="shared" si="55"/>
        <v>44585</v>
      </c>
      <c r="E187" s="210" t="s">
        <v>58</v>
      </c>
      <c r="F187" s="160">
        <v>9</v>
      </c>
      <c r="G187" s="187">
        <v>19</v>
      </c>
      <c r="H187" s="199">
        <f t="shared" si="46"/>
        <v>1.1251790663222052</v>
      </c>
      <c r="I187" s="199">
        <f t="shared" si="57"/>
        <v>1.3376212393608571</v>
      </c>
      <c r="J187" s="200">
        <f t="shared" si="47"/>
        <v>25.414803547856284</v>
      </c>
      <c r="K187" s="201">
        <f t="shared" si="41"/>
        <v>21.378402260121899</v>
      </c>
      <c r="L187" s="202">
        <f t="shared" si="56"/>
        <v>4.0364012877343853</v>
      </c>
      <c r="M187" s="192">
        <f t="shared" si="48"/>
        <v>0.12576622501465631</v>
      </c>
      <c r="N187" s="193">
        <f t="shared" si="49"/>
        <v>4.1621675127490416</v>
      </c>
      <c r="O187" s="192">
        <v>0</v>
      </c>
      <c r="P187" s="192">
        <v>0</v>
      </c>
      <c r="Q187" s="192">
        <v>0</v>
      </c>
      <c r="R187" s="193">
        <f t="shared" si="50"/>
        <v>4.1621675127490416</v>
      </c>
    </row>
    <row r="188" spans="1:18" x14ac:dyDescent="0.2">
      <c r="A188" s="112">
        <v>1</v>
      </c>
      <c r="B188" s="184">
        <f t="shared" si="45"/>
        <v>44197</v>
      </c>
      <c r="C188" s="204">
        <f t="shared" ref="C188:D211" si="58">+C176</f>
        <v>44230</v>
      </c>
      <c r="D188" s="204">
        <f t="shared" si="58"/>
        <v>44251</v>
      </c>
      <c r="E188" s="186" t="s">
        <v>59</v>
      </c>
      <c r="F188" s="112">
        <v>9</v>
      </c>
      <c r="G188" s="187">
        <v>35</v>
      </c>
      <c r="H188" s="188">
        <f t="shared" si="46"/>
        <v>1.1251790663222052</v>
      </c>
      <c r="I188" s="188">
        <f t="shared" si="57"/>
        <v>1.3376212393608571</v>
      </c>
      <c r="J188" s="189">
        <f t="shared" si="47"/>
        <v>46.816743377629997</v>
      </c>
      <c r="K188" s="190">
        <f t="shared" si="41"/>
        <v>39.381267321277186</v>
      </c>
      <c r="L188" s="191">
        <f t="shared" si="56"/>
        <v>7.4354760563528117</v>
      </c>
      <c r="M188" s="192">
        <f t="shared" si="48"/>
        <v>0.23167462502699851</v>
      </c>
      <c r="N188" s="193">
        <f t="shared" si="49"/>
        <v>7.6671506813798098</v>
      </c>
      <c r="O188" s="192">
        <v>0</v>
      </c>
      <c r="P188" s="192">
        <v>0</v>
      </c>
      <c r="Q188" s="192">
        <v>0</v>
      </c>
      <c r="R188" s="193">
        <f t="shared" si="50"/>
        <v>7.6671506813798098</v>
      </c>
    </row>
    <row r="189" spans="1:18" x14ac:dyDescent="0.2">
      <c r="A189" s="149">
        <v>2</v>
      </c>
      <c r="B189" s="184">
        <f t="shared" si="45"/>
        <v>44228</v>
      </c>
      <c r="C189" s="207">
        <f t="shared" si="58"/>
        <v>44258</v>
      </c>
      <c r="D189" s="207">
        <f t="shared" si="58"/>
        <v>44279</v>
      </c>
      <c r="E189" s="194" t="s">
        <v>59</v>
      </c>
      <c r="F189" s="149">
        <v>9</v>
      </c>
      <c r="G189" s="187">
        <v>33</v>
      </c>
      <c r="H189" s="188">
        <f t="shared" si="46"/>
        <v>1.1251790663222052</v>
      </c>
      <c r="I189" s="188">
        <f t="shared" si="57"/>
        <v>1.3376212393608571</v>
      </c>
      <c r="J189" s="189">
        <f t="shared" si="47"/>
        <v>44.141500898908284</v>
      </c>
      <c r="K189" s="190">
        <f t="shared" si="41"/>
        <v>37.130909188632771</v>
      </c>
      <c r="L189" s="191">
        <f t="shared" si="56"/>
        <v>7.0105917102755129</v>
      </c>
      <c r="M189" s="192">
        <f t="shared" si="48"/>
        <v>0.2184360750254557</v>
      </c>
      <c r="N189" s="193">
        <f t="shared" si="49"/>
        <v>7.2290277853009686</v>
      </c>
      <c r="O189" s="192">
        <v>0</v>
      </c>
      <c r="P189" s="192">
        <v>0</v>
      </c>
      <c r="Q189" s="192">
        <v>0</v>
      </c>
      <c r="R189" s="193">
        <f t="shared" si="50"/>
        <v>7.2290277853009686</v>
      </c>
    </row>
    <row r="190" spans="1:18" x14ac:dyDescent="0.2">
      <c r="A190" s="149">
        <v>3</v>
      </c>
      <c r="B190" s="184">
        <f t="shared" si="45"/>
        <v>44256</v>
      </c>
      <c r="C190" s="207">
        <f t="shared" si="58"/>
        <v>44291</v>
      </c>
      <c r="D190" s="207">
        <f t="shared" si="58"/>
        <v>44312</v>
      </c>
      <c r="E190" s="194" t="s">
        <v>59</v>
      </c>
      <c r="F190" s="149">
        <v>9</v>
      </c>
      <c r="G190" s="187">
        <v>30</v>
      </c>
      <c r="H190" s="188">
        <f t="shared" si="46"/>
        <v>1.1251790663222052</v>
      </c>
      <c r="I190" s="188">
        <f t="shared" si="57"/>
        <v>1.3376212393608571</v>
      </c>
      <c r="J190" s="189">
        <f t="shared" si="47"/>
        <v>40.128637180825713</v>
      </c>
      <c r="K190" s="190">
        <f t="shared" si="41"/>
        <v>33.755371989666159</v>
      </c>
      <c r="L190" s="191">
        <f>+J190-K190</f>
        <v>6.3732651911595539</v>
      </c>
      <c r="M190" s="192">
        <f t="shared" si="48"/>
        <v>0.19857825002314156</v>
      </c>
      <c r="N190" s="193">
        <f t="shared" si="49"/>
        <v>6.5718434411826951</v>
      </c>
      <c r="O190" s="192">
        <v>0</v>
      </c>
      <c r="P190" s="192">
        <v>0</v>
      </c>
      <c r="Q190" s="192">
        <v>0</v>
      </c>
      <c r="R190" s="193">
        <f t="shared" si="50"/>
        <v>6.5718434411826951</v>
      </c>
    </row>
    <row r="191" spans="1:18" x14ac:dyDescent="0.2">
      <c r="A191" s="112">
        <v>4</v>
      </c>
      <c r="B191" s="184">
        <f t="shared" si="45"/>
        <v>44287</v>
      </c>
      <c r="C191" s="207">
        <f t="shared" si="58"/>
        <v>44321</v>
      </c>
      <c r="D191" s="207">
        <f t="shared" si="58"/>
        <v>44340</v>
      </c>
      <c r="E191" s="54" t="s">
        <v>59</v>
      </c>
      <c r="F191" s="149">
        <v>9</v>
      </c>
      <c r="G191" s="187">
        <v>32</v>
      </c>
      <c r="H191" s="188">
        <f t="shared" si="46"/>
        <v>1.1251790663222052</v>
      </c>
      <c r="I191" s="188">
        <f t="shared" si="57"/>
        <v>1.3376212393608571</v>
      </c>
      <c r="J191" s="189">
        <f t="shared" si="47"/>
        <v>42.803879659547427</v>
      </c>
      <c r="K191" s="190">
        <f t="shared" si="41"/>
        <v>36.005730122310567</v>
      </c>
      <c r="L191" s="191">
        <f t="shared" ref="L191:L201" si="59">+J191-K191</f>
        <v>6.7981495372368599</v>
      </c>
      <c r="M191" s="192">
        <f t="shared" si="48"/>
        <v>0.21181680002468434</v>
      </c>
      <c r="N191" s="193">
        <f t="shared" si="49"/>
        <v>7.0099663372615444</v>
      </c>
      <c r="O191" s="192">
        <v>0</v>
      </c>
      <c r="P191" s="192">
        <v>0</v>
      </c>
      <c r="Q191" s="192">
        <v>0</v>
      </c>
      <c r="R191" s="193">
        <f t="shared" si="50"/>
        <v>7.0099663372615444</v>
      </c>
    </row>
    <row r="192" spans="1:18" x14ac:dyDescent="0.2">
      <c r="A192" s="149">
        <v>5</v>
      </c>
      <c r="B192" s="184">
        <f t="shared" si="45"/>
        <v>44317</v>
      </c>
      <c r="C192" s="207">
        <f t="shared" si="58"/>
        <v>44350</v>
      </c>
      <c r="D192" s="207">
        <f t="shared" si="58"/>
        <v>44371</v>
      </c>
      <c r="E192" s="54" t="s">
        <v>59</v>
      </c>
      <c r="F192" s="149">
        <v>9</v>
      </c>
      <c r="G192" s="187">
        <v>40</v>
      </c>
      <c r="H192" s="188">
        <f t="shared" si="46"/>
        <v>1.1251790663222052</v>
      </c>
      <c r="I192" s="188">
        <f t="shared" si="57"/>
        <v>1.3376212393608571</v>
      </c>
      <c r="J192" s="189">
        <f t="shared" si="47"/>
        <v>53.504849574434282</v>
      </c>
      <c r="K192" s="190">
        <f t="shared" si="41"/>
        <v>45.007162652888212</v>
      </c>
      <c r="L192" s="191">
        <f t="shared" si="59"/>
        <v>8.4976869215460695</v>
      </c>
      <c r="M192" s="192">
        <f t="shared" si="48"/>
        <v>0.26477100003085541</v>
      </c>
      <c r="N192" s="193">
        <f t="shared" si="49"/>
        <v>8.7624579215769245</v>
      </c>
      <c r="O192" s="192">
        <v>0</v>
      </c>
      <c r="P192" s="192">
        <v>0</v>
      </c>
      <c r="Q192" s="192">
        <v>0</v>
      </c>
      <c r="R192" s="193">
        <f t="shared" si="50"/>
        <v>8.7624579215769245</v>
      </c>
    </row>
    <row r="193" spans="1:18" x14ac:dyDescent="0.2">
      <c r="A193" s="149">
        <v>6</v>
      </c>
      <c r="B193" s="184">
        <f t="shared" si="45"/>
        <v>44348</v>
      </c>
      <c r="C193" s="207">
        <f t="shared" si="58"/>
        <v>44383</v>
      </c>
      <c r="D193" s="207">
        <f t="shared" si="58"/>
        <v>44401</v>
      </c>
      <c r="E193" s="54" t="s">
        <v>59</v>
      </c>
      <c r="F193" s="149">
        <v>9</v>
      </c>
      <c r="G193" s="187">
        <v>46</v>
      </c>
      <c r="H193" s="188">
        <f t="shared" si="46"/>
        <v>1.1251790663222052</v>
      </c>
      <c r="I193" s="188">
        <f t="shared" si="57"/>
        <v>1.3376212393608571</v>
      </c>
      <c r="J193" s="189">
        <f t="shared" si="47"/>
        <v>61.530577010599423</v>
      </c>
      <c r="K193" s="190">
        <f t="shared" si="41"/>
        <v>51.758237050821442</v>
      </c>
      <c r="L193" s="195">
        <f t="shared" si="59"/>
        <v>9.7723399597779803</v>
      </c>
      <c r="M193" s="192">
        <f t="shared" si="48"/>
        <v>0.30448665003548375</v>
      </c>
      <c r="N193" s="193">
        <f t="shared" si="49"/>
        <v>10.076826609813464</v>
      </c>
      <c r="O193" s="192">
        <v>0</v>
      </c>
      <c r="P193" s="192">
        <v>0</v>
      </c>
      <c r="Q193" s="192">
        <v>0</v>
      </c>
      <c r="R193" s="193">
        <f t="shared" si="50"/>
        <v>10.076826609813464</v>
      </c>
    </row>
    <row r="194" spans="1:18" x14ac:dyDescent="0.2">
      <c r="A194" s="112">
        <v>7</v>
      </c>
      <c r="B194" s="184">
        <f t="shared" si="45"/>
        <v>44378</v>
      </c>
      <c r="C194" s="207">
        <f t="shared" si="58"/>
        <v>44412</v>
      </c>
      <c r="D194" s="207">
        <f t="shared" si="58"/>
        <v>44432</v>
      </c>
      <c r="E194" s="54" t="s">
        <v>59</v>
      </c>
      <c r="F194" s="149">
        <v>9</v>
      </c>
      <c r="G194" s="187">
        <v>48</v>
      </c>
      <c r="H194" s="188">
        <f t="shared" si="46"/>
        <v>1.1251790663222052</v>
      </c>
      <c r="I194" s="188">
        <f t="shared" si="57"/>
        <v>1.3376212393608571</v>
      </c>
      <c r="J194" s="189">
        <f t="shared" si="47"/>
        <v>64.205819489321144</v>
      </c>
      <c r="K194" s="196">
        <f t="shared" si="41"/>
        <v>54.00859518346585</v>
      </c>
      <c r="L194" s="195">
        <f t="shared" si="59"/>
        <v>10.197224305855293</v>
      </c>
      <c r="M194" s="192">
        <f t="shared" si="48"/>
        <v>0.31772520003702648</v>
      </c>
      <c r="N194" s="193">
        <f t="shared" si="49"/>
        <v>10.51494950589232</v>
      </c>
      <c r="O194" s="192">
        <v>0</v>
      </c>
      <c r="P194" s="192">
        <v>0</v>
      </c>
      <c r="Q194" s="192">
        <v>0</v>
      </c>
      <c r="R194" s="193">
        <f t="shared" si="50"/>
        <v>10.51494950589232</v>
      </c>
    </row>
    <row r="195" spans="1:18" x14ac:dyDescent="0.2">
      <c r="A195" s="149">
        <v>8</v>
      </c>
      <c r="B195" s="184">
        <f t="shared" si="45"/>
        <v>44409</v>
      </c>
      <c r="C195" s="207">
        <f t="shared" si="58"/>
        <v>44442</v>
      </c>
      <c r="D195" s="207">
        <f t="shared" si="58"/>
        <v>44463</v>
      </c>
      <c r="E195" s="54" t="s">
        <v>59</v>
      </c>
      <c r="F195" s="149">
        <v>9</v>
      </c>
      <c r="G195" s="187">
        <v>50</v>
      </c>
      <c r="H195" s="188">
        <f t="shared" si="46"/>
        <v>1.1251790663222052</v>
      </c>
      <c r="I195" s="188">
        <f t="shared" si="57"/>
        <v>1.3376212393608571</v>
      </c>
      <c r="J195" s="189">
        <f t="shared" si="47"/>
        <v>66.881061968042857</v>
      </c>
      <c r="K195" s="196">
        <f t="shared" si="41"/>
        <v>56.258953316110258</v>
      </c>
      <c r="L195" s="195">
        <f t="shared" si="59"/>
        <v>10.622108651932599</v>
      </c>
      <c r="M195" s="192">
        <f t="shared" si="48"/>
        <v>0.33096375003856932</v>
      </c>
      <c r="N195" s="193">
        <f t="shared" si="49"/>
        <v>10.953072401971168</v>
      </c>
      <c r="O195" s="192">
        <v>0</v>
      </c>
      <c r="P195" s="192">
        <v>0</v>
      </c>
      <c r="Q195" s="192">
        <v>0</v>
      </c>
      <c r="R195" s="193">
        <f t="shared" si="50"/>
        <v>10.953072401971168</v>
      </c>
    </row>
    <row r="196" spans="1:18" x14ac:dyDescent="0.2">
      <c r="A196" s="149">
        <v>9</v>
      </c>
      <c r="B196" s="184">
        <f t="shared" si="45"/>
        <v>44440</v>
      </c>
      <c r="C196" s="207">
        <f t="shared" si="58"/>
        <v>44474</v>
      </c>
      <c r="D196" s="207">
        <f t="shared" si="58"/>
        <v>44494</v>
      </c>
      <c r="E196" s="54" t="s">
        <v>59</v>
      </c>
      <c r="F196" s="149">
        <v>9</v>
      </c>
      <c r="G196" s="187">
        <v>52</v>
      </c>
      <c r="H196" s="188">
        <f t="shared" si="46"/>
        <v>1.1251790663222052</v>
      </c>
      <c r="I196" s="188">
        <f t="shared" si="57"/>
        <v>1.3376212393608571</v>
      </c>
      <c r="J196" s="189">
        <f t="shared" si="47"/>
        <v>69.556304446764571</v>
      </c>
      <c r="K196" s="196">
        <f t="shared" si="41"/>
        <v>58.509311448754673</v>
      </c>
      <c r="L196" s="195">
        <f t="shared" si="59"/>
        <v>11.046992998009898</v>
      </c>
      <c r="M196" s="192">
        <f t="shared" si="48"/>
        <v>0.34420230004011204</v>
      </c>
      <c r="N196" s="193">
        <f t="shared" si="49"/>
        <v>11.391195298050011</v>
      </c>
      <c r="O196" s="192">
        <v>0</v>
      </c>
      <c r="P196" s="192">
        <v>0</v>
      </c>
      <c r="Q196" s="192">
        <v>0</v>
      </c>
      <c r="R196" s="193">
        <f t="shared" si="50"/>
        <v>11.391195298050011</v>
      </c>
    </row>
    <row r="197" spans="1:18" x14ac:dyDescent="0.2">
      <c r="A197" s="112">
        <v>10</v>
      </c>
      <c r="B197" s="184">
        <f t="shared" si="45"/>
        <v>44470</v>
      </c>
      <c r="C197" s="207">
        <f t="shared" si="58"/>
        <v>44503</v>
      </c>
      <c r="D197" s="207">
        <f t="shared" si="58"/>
        <v>44524</v>
      </c>
      <c r="E197" s="54" t="s">
        <v>59</v>
      </c>
      <c r="F197" s="149">
        <v>9</v>
      </c>
      <c r="G197" s="187">
        <v>40</v>
      </c>
      <c r="H197" s="188">
        <f t="shared" si="46"/>
        <v>1.1251790663222052</v>
      </c>
      <c r="I197" s="188">
        <f t="shared" si="57"/>
        <v>1.3376212393608571</v>
      </c>
      <c r="J197" s="189">
        <f t="shared" si="47"/>
        <v>53.504849574434282</v>
      </c>
      <c r="K197" s="196">
        <f t="shared" si="41"/>
        <v>45.007162652888212</v>
      </c>
      <c r="L197" s="195">
        <f t="shared" si="59"/>
        <v>8.4976869215460695</v>
      </c>
      <c r="M197" s="192">
        <f t="shared" si="48"/>
        <v>0.26477100003085541</v>
      </c>
      <c r="N197" s="193">
        <f t="shared" si="49"/>
        <v>8.7624579215769245</v>
      </c>
      <c r="O197" s="192">
        <v>0</v>
      </c>
      <c r="P197" s="192">
        <v>0</v>
      </c>
      <c r="Q197" s="192">
        <v>0</v>
      </c>
      <c r="R197" s="193">
        <f t="shared" si="50"/>
        <v>8.7624579215769245</v>
      </c>
    </row>
    <row r="198" spans="1:18" x14ac:dyDescent="0.2">
      <c r="A198" s="149">
        <v>11</v>
      </c>
      <c r="B198" s="184">
        <f t="shared" si="45"/>
        <v>44501</v>
      </c>
      <c r="C198" s="207">
        <f t="shared" si="58"/>
        <v>44533</v>
      </c>
      <c r="D198" s="207">
        <f t="shared" si="58"/>
        <v>44557</v>
      </c>
      <c r="E198" s="54" t="s">
        <v>59</v>
      </c>
      <c r="F198" s="149">
        <v>9</v>
      </c>
      <c r="G198" s="187">
        <v>32</v>
      </c>
      <c r="H198" s="188">
        <f t="shared" si="46"/>
        <v>1.1251790663222052</v>
      </c>
      <c r="I198" s="188">
        <f t="shared" si="57"/>
        <v>1.3376212393608571</v>
      </c>
      <c r="J198" s="189">
        <f t="shared" si="47"/>
        <v>42.803879659547427</v>
      </c>
      <c r="K198" s="196">
        <f t="shared" ref="K198:K209" si="60">+$G198*H198</f>
        <v>36.005730122310567</v>
      </c>
      <c r="L198" s="195">
        <f t="shared" si="59"/>
        <v>6.7981495372368599</v>
      </c>
      <c r="M198" s="192">
        <f t="shared" si="48"/>
        <v>0.21181680002468434</v>
      </c>
      <c r="N198" s="193">
        <f t="shared" si="49"/>
        <v>7.0099663372615444</v>
      </c>
      <c r="O198" s="192">
        <v>0</v>
      </c>
      <c r="P198" s="192">
        <v>0</v>
      </c>
      <c r="Q198" s="192">
        <v>0</v>
      </c>
      <c r="R198" s="193">
        <f t="shared" si="50"/>
        <v>7.0099663372615444</v>
      </c>
    </row>
    <row r="199" spans="1:18" s="211" customFormat="1" x14ac:dyDescent="0.2">
      <c r="A199" s="149">
        <v>12</v>
      </c>
      <c r="B199" s="209">
        <f t="shared" si="45"/>
        <v>44531</v>
      </c>
      <c r="C199" s="207">
        <f t="shared" si="58"/>
        <v>44566</v>
      </c>
      <c r="D199" s="207">
        <f t="shared" si="58"/>
        <v>44585</v>
      </c>
      <c r="E199" s="210" t="s">
        <v>59</v>
      </c>
      <c r="F199" s="160">
        <v>9</v>
      </c>
      <c r="G199" s="187">
        <v>35</v>
      </c>
      <c r="H199" s="199">
        <f t="shared" si="46"/>
        <v>1.1251790663222052</v>
      </c>
      <c r="I199" s="199">
        <f t="shared" si="57"/>
        <v>1.3376212393608571</v>
      </c>
      <c r="J199" s="200">
        <f t="shared" si="47"/>
        <v>46.816743377629997</v>
      </c>
      <c r="K199" s="201">
        <f t="shared" si="60"/>
        <v>39.381267321277186</v>
      </c>
      <c r="L199" s="202">
        <f t="shared" si="59"/>
        <v>7.4354760563528117</v>
      </c>
      <c r="M199" s="192">
        <f t="shared" si="48"/>
        <v>0.23167462502699851</v>
      </c>
      <c r="N199" s="193">
        <f t="shared" si="49"/>
        <v>7.6671506813798098</v>
      </c>
      <c r="O199" s="192">
        <v>0</v>
      </c>
      <c r="P199" s="192">
        <v>0</v>
      </c>
      <c r="Q199" s="192">
        <v>0</v>
      </c>
      <c r="R199" s="193">
        <f t="shared" si="50"/>
        <v>7.6671506813798098</v>
      </c>
    </row>
    <row r="200" spans="1:18" x14ac:dyDescent="0.2">
      <c r="A200" s="112">
        <v>1</v>
      </c>
      <c r="B200" s="184">
        <f t="shared" si="45"/>
        <v>44197</v>
      </c>
      <c r="C200" s="204">
        <f t="shared" si="58"/>
        <v>44230</v>
      </c>
      <c r="D200" s="204">
        <f t="shared" si="58"/>
        <v>44251</v>
      </c>
      <c r="E200" s="186" t="s">
        <v>17</v>
      </c>
      <c r="F200" s="112">
        <v>9</v>
      </c>
      <c r="G200" s="187">
        <v>94</v>
      </c>
      <c r="H200" s="188">
        <f t="shared" si="46"/>
        <v>1.1251790663222052</v>
      </c>
      <c r="I200" s="188">
        <f t="shared" si="57"/>
        <v>1.3376212393608571</v>
      </c>
      <c r="J200" s="189">
        <f t="shared" si="47"/>
        <v>125.73639649992056</v>
      </c>
      <c r="K200" s="190">
        <f t="shared" si="60"/>
        <v>105.76683223428729</v>
      </c>
      <c r="L200" s="191">
        <f t="shared" si="59"/>
        <v>19.969564265633267</v>
      </c>
      <c r="M200" s="192">
        <f t="shared" si="48"/>
        <v>0.62221185007251023</v>
      </c>
      <c r="N200" s="193">
        <f t="shared" si="49"/>
        <v>20.591776115705777</v>
      </c>
      <c r="O200" s="192">
        <v>0</v>
      </c>
      <c r="P200" s="192">
        <v>0</v>
      </c>
      <c r="Q200" s="192">
        <v>0</v>
      </c>
      <c r="R200" s="193">
        <f t="shared" si="50"/>
        <v>20.591776115705777</v>
      </c>
    </row>
    <row r="201" spans="1:18" x14ac:dyDescent="0.2">
      <c r="A201" s="149">
        <v>2</v>
      </c>
      <c r="B201" s="184">
        <f t="shared" si="45"/>
        <v>44228</v>
      </c>
      <c r="C201" s="207">
        <f t="shared" si="58"/>
        <v>44258</v>
      </c>
      <c r="D201" s="207">
        <f t="shared" si="58"/>
        <v>44279</v>
      </c>
      <c r="E201" s="194" t="s">
        <v>17</v>
      </c>
      <c r="F201" s="149">
        <v>9</v>
      </c>
      <c r="G201" s="187">
        <v>100</v>
      </c>
      <c r="H201" s="188">
        <f t="shared" si="46"/>
        <v>1.1251790663222052</v>
      </c>
      <c r="I201" s="188">
        <f t="shared" si="57"/>
        <v>1.3376212393608571</v>
      </c>
      <c r="J201" s="189">
        <f t="shared" si="47"/>
        <v>133.76212393608571</v>
      </c>
      <c r="K201" s="190">
        <f t="shared" si="60"/>
        <v>112.51790663222052</v>
      </c>
      <c r="L201" s="191">
        <f t="shared" si="59"/>
        <v>21.244217303865199</v>
      </c>
      <c r="M201" s="192">
        <f t="shared" si="48"/>
        <v>0.66192750007713863</v>
      </c>
      <c r="N201" s="193">
        <f t="shared" si="49"/>
        <v>21.906144803942336</v>
      </c>
      <c r="O201" s="192">
        <v>0</v>
      </c>
      <c r="P201" s="192">
        <v>0</v>
      </c>
      <c r="Q201" s="192">
        <v>0</v>
      </c>
      <c r="R201" s="193">
        <f t="shared" si="50"/>
        <v>21.906144803942336</v>
      </c>
    </row>
    <row r="202" spans="1:18" x14ac:dyDescent="0.2">
      <c r="A202" s="149">
        <v>3</v>
      </c>
      <c r="B202" s="184">
        <f t="shared" si="45"/>
        <v>44256</v>
      </c>
      <c r="C202" s="207">
        <f t="shared" si="58"/>
        <v>44291</v>
      </c>
      <c r="D202" s="207">
        <f t="shared" si="58"/>
        <v>44312</v>
      </c>
      <c r="E202" s="194" t="s">
        <v>17</v>
      </c>
      <c r="F202" s="149">
        <v>9</v>
      </c>
      <c r="G202" s="187">
        <v>101</v>
      </c>
      <c r="H202" s="188">
        <f t="shared" si="46"/>
        <v>1.1251790663222052</v>
      </c>
      <c r="I202" s="188">
        <f t="shared" si="57"/>
        <v>1.3376212393608571</v>
      </c>
      <c r="J202" s="189">
        <f t="shared" si="47"/>
        <v>135.09974517544657</v>
      </c>
      <c r="K202" s="190">
        <f t="shared" si="60"/>
        <v>113.64308569854272</v>
      </c>
      <c r="L202" s="191">
        <f>+J202-K202</f>
        <v>21.456659476903852</v>
      </c>
      <c r="M202" s="192">
        <f t="shared" si="48"/>
        <v>0.66854677507790994</v>
      </c>
      <c r="N202" s="193">
        <f t="shared" si="49"/>
        <v>22.125206251981762</v>
      </c>
      <c r="O202" s="192">
        <v>0</v>
      </c>
      <c r="P202" s="192">
        <v>0</v>
      </c>
      <c r="Q202" s="192">
        <v>0</v>
      </c>
      <c r="R202" s="193">
        <f t="shared" si="50"/>
        <v>22.125206251981762</v>
      </c>
    </row>
    <row r="203" spans="1:18" x14ac:dyDescent="0.2">
      <c r="A203" s="112">
        <v>4</v>
      </c>
      <c r="B203" s="184">
        <f t="shared" si="45"/>
        <v>44287</v>
      </c>
      <c r="C203" s="207">
        <f t="shared" si="58"/>
        <v>44321</v>
      </c>
      <c r="D203" s="207">
        <f t="shared" si="58"/>
        <v>44340</v>
      </c>
      <c r="E203" s="194" t="s">
        <v>17</v>
      </c>
      <c r="F203" s="149">
        <v>9</v>
      </c>
      <c r="G203" s="187">
        <v>98</v>
      </c>
      <c r="H203" s="188">
        <f t="shared" si="46"/>
        <v>1.1251790663222052</v>
      </c>
      <c r="I203" s="188">
        <f t="shared" si="57"/>
        <v>1.3376212393608571</v>
      </c>
      <c r="J203" s="189">
        <f t="shared" si="47"/>
        <v>131.086881457364</v>
      </c>
      <c r="K203" s="190">
        <f t="shared" si="60"/>
        <v>110.26754849957611</v>
      </c>
      <c r="L203" s="191">
        <f t="shared" ref="L203:L211" si="61">+J203-K203</f>
        <v>20.819332957787893</v>
      </c>
      <c r="M203" s="192">
        <f t="shared" si="48"/>
        <v>0.64868895007559579</v>
      </c>
      <c r="N203" s="193">
        <f t="shared" si="49"/>
        <v>21.468021907863488</v>
      </c>
      <c r="O203" s="192">
        <v>0</v>
      </c>
      <c r="P203" s="192">
        <v>0</v>
      </c>
      <c r="Q203" s="192">
        <v>0</v>
      </c>
      <c r="R203" s="193">
        <f t="shared" si="50"/>
        <v>21.468021907863488</v>
      </c>
    </row>
    <row r="204" spans="1:18" x14ac:dyDescent="0.2">
      <c r="A204" s="149">
        <v>5</v>
      </c>
      <c r="B204" s="184">
        <f t="shared" si="45"/>
        <v>44317</v>
      </c>
      <c r="C204" s="207">
        <f t="shared" si="58"/>
        <v>44350</v>
      </c>
      <c r="D204" s="207">
        <f t="shared" si="58"/>
        <v>44371</v>
      </c>
      <c r="E204" s="54" t="s">
        <v>17</v>
      </c>
      <c r="F204" s="149">
        <v>9</v>
      </c>
      <c r="G204" s="187">
        <v>99</v>
      </c>
      <c r="H204" s="188">
        <f t="shared" si="46"/>
        <v>1.1251790663222052</v>
      </c>
      <c r="I204" s="188">
        <f t="shared" si="57"/>
        <v>1.3376212393608571</v>
      </c>
      <c r="J204" s="189">
        <f t="shared" si="47"/>
        <v>132.42450269672486</v>
      </c>
      <c r="K204" s="190">
        <f t="shared" si="60"/>
        <v>111.39272756589831</v>
      </c>
      <c r="L204" s="191">
        <f t="shared" si="61"/>
        <v>21.031775130826546</v>
      </c>
      <c r="M204" s="192">
        <f t="shared" si="48"/>
        <v>0.65530822507636721</v>
      </c>
      <c r="N204" s="193">
        <f t="shared" si="49"/>
        <v>21.687083355902914</v>
      </c>
      <c r="O204" s="192">
        <v>0</v>
      </c>
      <c r="P204" s="192">
        <v>0</v>
      </c>
      <c r="Q204" s="192">
        <v>0</v>
      </c>
      <c r="R204" s="193">
        <f t="shared" si="50"/>
        <v>21.687083355902914</v>
      </c>
    </row>
    <row r="205" spans="1:18" x14ac:dyDescent="0.2">
      <c r="A205" s="149">
        <v>6</v>
      </c>
      <c r="B205" s="184">
        <f t="shared" si="45"/>
        <v>44348</v>
      </c>
      <c r="C205" s="207">
        <f t="shared" si="58"/>
        <v>44383</v>
      </c>
      <c r="D205" s="207">
        <f t="shared" si="58"/>
        <v>44401</v>
      </c>
      <c r="E205" s="54" t="s">
        <v>17</v>
      </c>
      <c r="F205" s="149">
        <v>9</v>
      </c>
      <c r="G205" s="187">
        <v>113</v>
      </c>
      <c r="H205" s="188">
        <f t="shared" si="46"/>
        <v>1.1251790663222052</v>
      </c>
      <c r="I205" s="188">
        <f t="shared" si="57"/>
        <v>1.3376212393608571</v>
      </c>
      <c r="J205" s="189">
        <f t="shared" si="47"/>
        <v>151.15120004777685</v>
      </c>
      <c r="K205" s="190">
        <f t="shared" si="60"/>
        <v>127.14523449440919</v>
      </c>
      <c r="L205" s="195">
        <f t="shared" si="61"/>
        <v>24.005965553367659</v>
      </c>
      <c r="M205" s="192">
        <f t="shared" si="48"/>
        <v>0.74797807508716663</v>
      </c>
      <c r="N205" s="193">
        <f t="shared" si="49"/>
        <v>24.753943628454827</v>
      </c>
      <c r="O205" s="192">
        <v>0</v>
      </c>
      <c r="P205" s="192">
        <v>0</v>
      </c>
      <c r="Q205" s="192">
        <v>0</v>
      </c>
      <c r="R205" s="193">
        <f t="shared" si="50"/>
        <v>24.753943628454827</v>
      </c>
    </row>
    <row r="206" spans="1:18" x14ac:dyDescent="0.2">
      <c r="A206" s="112">
        <v>7</v>
      </c>
      <c r="B206" s="184">
        <f t="shared" si="45"/>
        <v>44378</v>
      </c>
      <c r="C206" s="207">
        <f t="shared" si="58"/>
        <v>44412</v>
      </c>
      <c r="D206" s="207">
        <f t="shared" si="58"/>
        <v>44432</v>
      </c>
      <c r="E206" s="54" t="s">
        <v>17</v>
      </c>
      <c r="F206" s="149">
        <v>9</v>
      </c>
      <c r="G206" s="187">
        <v>116</v>
      </c>
      <c r="H206" s="188">
        <f t="shared" si="46"/>
        <v>1.1251790663222052</v>
      </c>
      <c r="I206" s="188">
        <f t="shared" si="57"/>
        <v>1.3376212393608571</v>
      </c>
      <c r="J206" s="189">
        <f t="shared" si="47"/>
        <v>155.16406376585942</v>
      </c>
      <c r="K206" s="196">
        <f t="shared" si="60"/>
        <v>130.52077169337579</v>
      </c>
      <c r="L206" s="195">
        <f t="shared" si="61"/>
        <v>24.643292072483632</v>
      </c>
      <c r="M206" s="192">
        <f t="shared" si="48"/>
        <v>0.76783590008948077</v>
      </c>
      <c r="N206" s="193">
        <f t="shared" si="49"/>
        <v>25.411127972573112</v>
      </c>
      <c r="O206" s="192">
        <v>0</v>
      </c>
      <c r="P206" s="192">
        <v>0</v>
      </c>
      <c r="Q206" s="192">
        <v>0</v>
      </c>
      <c r="R206" s="193">
        <f t="shared" si="50"/>
        <v>25.411127972573112</v>
      </c>
    </row>
    <row r="207" spans="1:18" x14ac:dyDescent="0.2">
      <c r="A207" s="149">
        <v>8</v>
      </c>
      <c r="B207" s="184">
        <f t="shared" si="45"/>
        <v>44409</v>
      </c>
      <c r="C207" s="207">
        <f t="shared" si="58"/>
        <v>44442</v>
      </c>
      <c r="D207" s="207">
        <f t="shared" si="58"/>
        <v>44463</v>
      </c>
      <c r="E207" s="54" t="s">
        <v>17</v>
      </c>
      <c r="F207" s="149">
        <v>9</v>
      </c>
      <c r="G207" s="187">
        <v>116</v>
      </c>
      <c r="H207" s="188">
        <f t="shared" si="46"/>
        <v>1.1251790663222052</v>
      </c>
      <c r="I207" s="188">
        <f t="shared" si="57"/>
        <v>1.3376212393608571</v>
      </c>
      <c r="J207" s="189">
        <f t="shared" si="47"/>
        <v>155.16406376585942</v>
      </c>
      <c r="K207" s="196">
        <f t="shared" si="60"/>
        <v>130.52077169337579</v>
      </c>
      <c r="L207" s="195">
        <f t="shared" si="61"/>
        <v>24.643292072483632</v>
      </c>
      <c r="M207" s="192">
        <f t="shared" si="48"/>
        <v>0.76783590008948077</v>
      </c>
      <c r="N207" s="193">
        <f t="shared" si="49"/>
        <v>25.411127972573112</v>
      </c>
      <c r="O207" s="192">
        <v>0</v>
      </c>
      <c r="P207" s="192">
        <v>0</v>
      </c>
      <c r="Q207" s="192">
        <v>0</v>
      </c>
      <c r="R207" s="193">
        <f t="shared" si="50"/>
        <v>25.411127972573112</v>
      </c>
    </row>
    <row r="208" spans="1:18" x14ac:dyDescent="0.2">
      <c r="A208" s="149">
        <v>9</v>
      </c>
      <c r="B208" s="184">
        <f t="shared" si="45"/>
        <v>44440</v>
      </c>
      <c r="C208" s="207">
        <f t="shared" si="58"/>
        <v>44474</v>
      </c>
      <c r="D208" s="207">
        <f t="shared" si="58"/>
        <v>44494</v>
      </c>
      <c r="E208" s="54" t="s">
        <v>17</v>
      </c>
      <c r="F208" s="149">
        <v>9</v>
      </c>
      <c r="G208" s="187">
        <v>116</v>
      </c>
      <c r="H208" s="188">
        <f t="shared" si="46"/>
        <v>1.1251790663222052</v>
      </c>
      <c r="I208" s="188">
        <f t="shared" si="57"/>
        <v>1.3376212393608571</v>
      </c>
      <c r="J208" s="189">
        <f t="shared" si="47"/>
        <v>155.16406376585942</v>
      </c>
      <c r="K208" s="196">
        <f t="shared" si="60"/>
        <v>130.52077169337579</v>
      </c>
      <c r="L208" s="195">
        <f t="shared" si="61"/>
        <v>24.643292072483632</v>
      </c>
      <c r="M208" s="192">
        <f t="shared" si="48"/>
        <v>0.76783590008948077</v>
      </c>
      <c r="N208" s="193">
        <f t="shared" si="49"/>
        <v>25.411127972573112</v>
      </c>
      <c r="O208" s="192">
        <v>0</v>
      </c>
      <c r="P208" s="192">
        <v>0</v>
      </c>
      <c r="Q208" s="192">
        <v>0</v>
      </c>
      <c r="R208" s="193">
        <f t="shared" si="50"/>
        <v>25.411127972573112</v>
      </c>
    </row>
    <row r="209" spans="1:18" x14ac:dyDescent="0.2">
      <c r="A209" s="112">
        <v>10</v>
      </c>
      <c r="B209" s="184">
        <f t="shared" si="45"/>
        <v>44470</v>
      </c>
      <c r="C209" s="207">
        <f t="shared" si="58"/>
        <v>44503</v>
      </c>
      <c r="D209" s="207">
        <f t="shared" si="58"/>
        <v>44524</v>
      </c>
      <c r="E209" s="54" t="s">
        <v>17</v>
      </c>
      <c r="F209" s="149">
        <v>9</v>
      </c>
      <c r="G209" s="187">
        <v>105</v>
      </c>
      <c r="H209" s="188">
        <f t="shared" si="46"/>
        <v>1.1251790663222052</v>
      </c>
      <c r="I209" s="188">
        <f t="shared" si="57"/>
        <v>1.3376212393608571</v>
      </c>
      <c r="J209" s="189">
        <f t="shared" si="47"/>
        <v>140.45023013289</v>
      </c>
      <c r="K209" s="196">
        <f t="shared" si="60"/>
        <v>118.14380196383155</v>
      </c>
      <c r="L209" s="195">
        <f t="shared" si="61"/>
        <v>22.306428169058449</v>
      </c>
      <c r="M209" s="192">
        <f t="shared" si="48"/>
        <v>0.6950238750809955</v>
      </c>
      <c r="N209" s="193">
        <f t="shared" si="49"/>
        <v>23.001452044139445</v>
      </c>
      <c r="O209" s="192">
        <v>0</v>
      </c>
      <c r="P209" s="192">
        <v>0</v>
      </c>
      <c r="Q209" s="192">
        <v>0</v>
      </c>
      <c r="R209" s="193">
        <f t="shared" si="50"/>
        <v>23.001452044139445</v>
      </c>
    </row>
    <row r="210" spans="1:18" x14ac:dyDescent="0.2">
      <c r="A210" s="149">
        <v>11</v>
      </c>
      <c r="B210" s="184">
        <f t="shared" si="45"/>
        <v>44501</v>
      </c>
      <c r="C210" s="207">
        <f t="shared" si="58"/>
        <v>44533</v>
      </c>
      <c r="D210" s="207">
        <f t="shared" si="58"/>
        <v>44557</v>
      </c>
      <c r="E210" s="54" t="s">
        <v>17</v>
      </c>
      <c r="F210" s="149">
        <v>9</v>
      </c>
      <c r="G210" s="187">
        <v>100</v>
      </c>
      <c r="H210" s="188">
        <f t="shared" si="46"/>
        <v>1.1251790663222052</v>
      </c>
      <c r="I210" s="188">
        <f t="shared" si="57"/>
        <v>1.3376212393608571</v>
      </c>
      <c r="J210" s="189">
        <f t="shared" si="47"/>
        <v>133.76212393608571</v>
      </c>
      <c r="K210" s="196">
        <f>+$G210*H210</f>
        <v>112.51790663222052</v>
      </c>
      <c r="L210" s="195">
        <f t="shared" si="61"/>
        <v>21.244217303865199</v>
      </c>
      <c r="M210" s="192">
        <f t="shared" si="48"/>
        <v>0.66192750007713863</v>
      </c>
      <c r="N210" s="193">
        <f t="shared" si="49"/>
        <v>21.906144803942336</v>
      </c>
      <c r="O210" s="192">
        <v>0</v>
      </c>
      <c r="P210" s="192">
        <v>0</v>
      </c>
      <c r="Q210" s="192">
        <v>0</v>
      </c>
      <c r="R210" s="193">
        <f t="shared" si="50"/>
        <v>21.906144803942336</v>
      </c>
    </row>
    <row r="211" spans="1:18" s="211" customFormat="1" x14ac:dyDescent="0.2">
      <c r="A211" s="149">
        <v>12</v>
      </c>
      <c r="B211" s="209">
        <f t="shared" si="45"/>
        <v>44531</v>
      </c>
      <c r="C211" s="212">
        <f t="shared" si="58"/>
        <v>44566</v>
      </c>
      <c r="D211" s="212">
        <f t="shared" si="58"/>
        <v>44585</v>
      </c>
      <c r="E211" s="210" t="s">
        <v>17</v>
      </c>
      <c r="F211" s="160">
        <v>9</v>
      </c>
      <c r="G211" s="187">
        <v>103</v>
      </c>
      <c r="H211" s="199">
        <f t="shared" si="46"/>
        <v>1.1251790663222052</v>
      </c>
      <c r="I211" s="199">
        <f t="shared" si="57"/>
        <v>1.3376212393608571</v>
      </c>
      <c r="J211" s="200">
        <f t="shared" si="47"/>
        <v>137.77498765416829</v>
      </c>
      <c r="K211" s="201">
        <f>+$G211*H211</f>
        <v>115.89344383118714</v>
      </c>
      <c r="L211" s="202">
        <f t="shared" si="61"/>
        <v>21.881543822981143</v>
      </c>
      <c r="M211" s="200">
        <f t="shared" si="48"/>
        <v>0.68178532507945278</v>
      </c>
      <c r="N211" s="193">
        <f t="shared" si="49"/>
        <v>22.563329148060596</v>
      </c>
      <c r="O211" s="192">
        <v>0</v>
      </c>
      <c r="P211" s="192">
        <v>0</v>
      </c>
      <c r="Q211" s="192">
        <v>0</v>
      </c>
      <c r="R211" s="193">
        <f t="shared" si="50"/>
        <v>22.563329148060596</v>
      </c>
    </row>
    <row r="212" spans="1:18" x14ac:dyDescent="0.2">
      <c r="G212" s="217">
        <f>SUM(G20:G211)</f>
        <v>98311</v>
      </c>
      <c r="H212" s="51"/>
      <c r="I212" s="51"/>
      <c r="J212" s="51">
        <f>SUM(J20:J211)</f>
        <v>131502.88166280527</v>
      </c>
      <c r="K212" s="51">
        <f>SUM(K20:K211)</f>
        <v>110617.47918920245</v>
      </c>
      <c r="L212" s="51">
        <f>SUM(L20:L211)</f>
        <v>20885.402473602797</v>
      </c>
      <c r="M212" s="51">
        <f>SUM(M20:M211)</f>
        <v>650.74754460083545</v>
      </c>
      <c r="N212" s="51"/>
      <c r="O212" s="51"/>
      <c r="P212" s="51">
        <f>SUM(P20:P211)</f>
        <v>0</v>
      </c>
      <c r="Q212" s="51"/>
      <c r="R212" s="218">
        <f>SUM(R20:R211)</f>
        <v>21536.150018203763</v>
      </c>
    </row>
    <row r="213" spans="1:18" x14ac:dyDescent="0.2">
      <c r="P213" s="51"/>
      <c r="Q213" s="51"/>
    </row>
    <row r="220" spans="1:18" x14ac:dyDescent="0.2">
      <c r="D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</row>
  </sheetData>
  <mergeCells count="4">
    <mergeCell ref="G2:H2"/>
    <mergeCell ref="G3:H3"/>
    <mergeCell ref="G7:H7"/>
    <mergeCell ref="G8:H8"/>
  </mergeCells>
  <phoneticPr fontId="0" type="noConversion"/>
  <pageMargins left="0.5" right="0.5" top="1.05" bottom="1" header="0.31" footer="0.5"/>
  <pageSetup scale="77" fitToWidth="2" fitToHeight="0" orientation="landscape" cellComments="asDisplayed" r:id="rId1"/>
  <headerFooter alignWithMargins="0">
    <oddHeader>&amp;R&amp;F  &amp;A</oddHead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WrappedLabelHistory xmlns:xsi="http://www.w3.org/2001/XMLSchema-instance" xmlns:xsd="http://www.w3.org/2001/XMLSchema" xmlns="http://www.boldonjames.com/2016/02/Classifier/internal/wrappedLabelHistory">
  <Value>PD94bWwgdmVyc2lvbj0iMS4wIiBlbmNvZGluZz0idXMtYXNjaWkiPz48bGFiZWxIaXN0b3J5IHhtbG5zOnhzaT0iaHR0cDovL3d3dy53My5vcmcvMjAwMS9YTUxTY2hlbWEtaW5zdGFuY2UiIHhtbG5zOnhzZD0iaHR0cDovL3d3dy53My5vcmcvMjAwMS9YTUxTY2hlbWEiIHhtbG5zPSJodHRwOi8vd3d3LmJvbGRvbmphbWVzLmNvbS8yMDE2LzAyL0NsYXNzaWZpZXIvaW50ZXJuYWwvbGFiZWxIaXN0b3J5Ij48aXRlbT48c2lzbCBzaXNsVmVyc2lvbj0iMCIgcG9saWN5PSJlOWMwYjhkNy1iZGI0LTRmZDMtYjYyYS1mNTAzMjdhYWVmY2UiIG9yaWdpbj0iYXV0b1NlbGVjdGVkU3VnZ2VzdGlvbiI+PGVsZW1lbnQgdWlkPSI1MGMzMTgyNC0wNzgwLTQ5MTAtODdkMS1lYWFmZmQxODJkNDIiIHZhbHVlPSIiIHhtbG5zPSJodHRwOi8vd3d3LmJvbGRvbmphbWVzLmNvbS8yMDA4LzAxL3NpZS9pbnRlcm5hbC9sYWJlbCIgLz48ZWxlbWVudCB1aWQ9ImM2NDIxOGFiLWI4ZDEtNDBiNi1hNDc4LWNiOGJlMWUxMGVjYyIgdmFsdWU9IiIgeG1sbnM9Imh0dHA6Ly93d3cuYm9sZG9uamFtZXMuY29tLzIwMDgvMDEvc2llL2ludGVybmFsL2xhYmVsIiAvPjwvc2lzbD48VXNlck5hbWU+Q09SUFxzMTc3MDQwPC9Vc2VyTmFtZT48RGF0ZVRpbWU+NC80LzIwMjIgMzoxNTozNCBQTTwvRGF0ZVRpbWU+PExhYmVsU3RyaW5nPkFFUCBJbnRlcm5hbDwvTGFiZWxTdHJpbmc+PC9pdGVtPjxpdGVtPjxzaXNsIHNpc2xWZXJzaW9uPSIwIiBwb2xpY3k9ImU5YzBiOGQ3LWJkYjQtNGZkMy1iNjJhLWY1MDMyN2FhZWZjZSIgb3JpZ2luPSJ1c2VyU2VsZWN0ZWQiPjxlbGVtZW50IHVpZD0iNTBjMzE4MjQtMDc4MC00OTEwLTg3ZDEtZWFhZmZkMTgyZDQyIiB2YWx1ZT0iIiB4bWxucz0iaHR0cDovL3d3dy5ib2xkb25qYW1lcy5jb20vMjAwOC8wMS9zaWUvaW50ZXJuYWwvbGFiZWwiIC8+PC9zaXNsPjxVc2VyTmFtZT5DT1JQXHMxNzcwNDA8L1VzZXJOYW1lPjxEYXRlVGltZT41LzIzLzIwMjIgNTozODo0NyBQTTwvRGF0ZVRpbWU+PExhYmVsU3RyaW5nPkFFUCBJbnRlcm5hbDwvTGFiZWxTdHJpbmc+PC9pdGVtPjwvbGFiZWxIaXN0b3J5Pg==</Value>
</WrappedLabelHistory>
</file>

<file path=customXml/item2.xml><?xml version="1.0" encoding="utf-8"?>
<sisl xmlns:xsi="http://www.w3.org/2001/XMLSchema-instance" xmlns:xsd="http://www.w3.org/2001/XMLSchema" xmlns="http://www.boldonjames.com/2008/01/sie/internal/label" sislVersion="0" policy="e9c0b8d7-bdb4-4fd3-b62a-f50327aaefce" origin="userSelected">
  <element uid="50c31824-0780-4910-87d1-eaaffd182d42" value=""/>
</sisl>
</file>

<file path=customXml/itemProps1.xml><?xml version="1.0" encoding="utf-8"?>
<ds:datastoreItem xmlns:ds="http://schemas.openxmlformats.org/officeDocument/2006/customXml" ds:itemID="{5ED846E2-06DE-4720-B6D8-DD6060DFDE06}">
  <ds:schemaRefs>
    <ds:schemaRef ds:uri="http://www.w3.org/2001/XMLSchema"/>
    <ds:schemaRef ds:uri="http://www.boldonjames.com/2016/02/Classifier/internal/wrappedLabelHistory"/>
  </ds:schemaRefs>
</ds:datastoreItem>
</file>

<file path=customXml/itemProps2.xml><?xml version="1.0" encoding="utf-8"?>
<ds:datastoreItem xmlns:ds="http://schemas.openxmlformats.org/officeDocument/2006/customXml" ds:itemID="{61D04598-352A-4693-9A59-5E70D9A4DBDF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Instructions</vt:lpstr>
      <vt:lpstr>Summary</vt:lpstr>
      <vt:lpstr>Pivot</vt:lpstr>
      <vt:lpstr>Transactions</vt:lpstr>
      <vt:lpstr>Transactions!AS1_1999</vt:lpstr>
      <vt:lpstr>Summary!Print_Area</vt:lpstr>
      <vt:lpstr>Transactions!Print_Area</vt:lpstr>
      <vt:lpstr>Pivot!Print_Titles</vt:lpstr>
      <vt:lpstr>Transactions!Print_Titles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 Williamson</dc:creator>
  <cp:keywords/>
  <cp:lastModifiedBy>s177040</cp:lastModifiedBy>
  <cp:lastPrinted>2021-05-21T18:06:23Z</cp:lastPrinted>
  <dcterms:created xsi:type="dcterms:W3CDTF">2009-09-04T18:19:13Z</dcterms:created>
  <dcterms:modified xsi:type="dcterms:W3CDTF">2022-05-27T21:20:21Z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f06838f1-b3e6-44ec-9132-89d348037b5f</vt:lpwstr>
  </property>
  <property fmtid="{D5CDD505-2E9C-101B-9397-08002B2CF9AE}" pid="3" name="bjSaver">
    <vt:lpwstr>clRxCTTKA7z930TtRLwKph96GxWYXtbn</vt:lpwstr>
  </property>
  <property fmtid="{D5CDD505-2E9C-101B-9397-08002B2CF9AE}" pid="4" name="bjDocumentSecurityLabel">
    <vt:lpwstr>AEP Internal</vt:lpwstr>
  </property>
  <property fmtid="{D5CDD505-2E9C-101B-9397-08002B2CF9AE}" pid="5" name="Visual Markings Removed">
    <vt:lpwstr>No</vt:lpwstr>
  </property>
  <property fmtid="{D5CDD505-2E9C-101B-9397-08002B2CF9AE}" pid="6" name="bjClsUserRVM">
    <vt:lpwstr>[]</vt:lpwstr>
  </property>
  <property fmtid="{D5CDD505-2E9C-101B-9397-08002B2CF9AE}" pid="7" name="MSIP_Label_69f43042-6bda-44b2-91eb-eca3d3d484f4_SiteId">
    <vt:lpwstr>15f3c881-6b03-4ff6-8559-77bf5177818f</vt:lpwstr>
  </property>
  <property fmtid="{D5CDD505-2E9C-101B-9397-08002B2CF9AE}" pid="8" name="MSIP_Label_69f43042-6bda-44b2-91eb-eca3d3d484f4_Name">
    <vt:lpwstr>AEP Internal</vt:lpwstr>
  </property>
  <property fmtid="{D5CDD505-2E9C-101B-9397-08002B2CF9AE}" pid="9" name="MSIP_Label_69f43042-6bda-44b2-91eb-eca3d3d484f4_Enabled">
    <vt:lpwstr>true</vt:lpwstr>
  </property>
  <property fmtid="{D5CDD505-2E9C-101B-9397-08002B2CF9AE}" pid="10" name="bjDocumentLabelXML">
    <vt:lpwstr>&lt;?xml version="1.0" encoding="us-ascii"?&gt;&lt;sisl xmlns:xsi="http://www.w3.org/2001/XMLSchema-instance" xmlns:xsd="http://www.w3.org/2001/XMLSchema" sislVersion="0" policy="e9c0b8d7-bdb4-4fd3-b62a-f50327aaefce" origin="userSelected" xmlns="http://www.boldonj</vt:lpwstr>
  </property>
  <property fmtid="{D5CDD505-2E9C-101B-9397-08002B2CF9AE}" pid="11" name="bjDocumentLabelXML-0">
    <vt:lpwstr>ames.com/2008/01/sie/internal/label"&gt;&lt;element uid="50c31824-0780-4910-87d1-eaaffd182d42" value="" /&gt;&lt;/sisl&gt;</vt:lpwstr>
  </property>
  <property fmtid="{D5CDD505-2E9C-101B-9397-08002B2CF9AE}" pid="12" name="bjLabelHistoryID">
    <vt:lpwstr>{5ED846E2-06DE-4720-B6D8-DD6060DFDE06}</vt:lpwstr>
  </property>
</Properties>
</file>